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nathanaelharfst/Desktop/L-23-Enef-01_InputUnterlagen/"/>
    </mc:Choice>
  </mc:AlternateContent>
  <xr:revisionPtr revIDLastSave="0" documentId="13_ncr:1_{C724E9E3-C775-6C4F-8BDE-7FC34A82A90E}" xr6:coauthVersionLast="47" xr6:coauthVersionMax="47" xr10:uidLastSave="{00000000-0000-0000-0000-000000000000}"/>
  <bookViews>
    <workbookView xWindow="820" yWindow="500" windowWidth="38740" windowHeight="22840" xr2:uid="{00000000-000D-0000-FFFF-FFFF00000000}"/>
  </bookViews>
  <sheets>
    <sheet name="Beispiel aus DIN EN 17463" sheetId="1" r:id="rId1"/>
    <sheet name="Bericht" sheetId="2" r:id="rId2"/>
    <sheet name="Alternativbeispiel" sheetId="3" r:id="rId3"/>
    <sheet name="Verkürzter KW (etwa nach BECV, " sheetId="4" r:id="rId4"/>
    <sheet name="Tabelle1" sheetId="6"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L63" i="1" l="1"/>
  <c r="B13" i="4"/>
  <c r="B17" i="4"/>
  <c r="L11" i="4"/>
  <c r="L15" i="4" s="1"/>
  <c r="L17" i="4" s="1"/>
  <c r="L18" i="4" s="1"/>
  <c r="K11" i="4"/>
  <c r="K15" i="4" s="1"/>
  <c r="K17" i="4" s="1"/>
  <c r="K18" i="4" s="1"/>
  <c r="J11" i="4"/>
  <c r="J15" i="4" s="1"/>
  <c r="J17" i="4" s="1"/>
  <c r="J18" i="4" s="1"/>
  <c r="I11" i="4"/>
  <c r="I15" i="4" s="1"/>
  <c r="I17" i="4" s="1"/>
  <c r="I18" i="4" s="1"/>
  <c r="H11" i="4"/>
  <c r="H15" i="4" s="1"/>
  <c r="H17" i="4" s="1"/>
  <c r="H18" i="4" s="1"/>
  <c r="G11" i="4"/>
  <c r="G15" i="4" s="1"/>
  <c r="G17" i="4" s="1"/>
  <c r="G18" i="4" s="1"/>
  <c r="F11" i="4"/>
  <c r="F15" i="4" s="1"/>
  <c r="F17" i="4" s="1"/>
  <c r="F18" i="4" s="1"/>
  <c r="E11" i="4"/>
  <c r="E15" i="4" s="1"/>
  <c r="E17" i="4" s="1"/>
  <c r="E18" i="4" s="1"/>
  <c r="D11" i="4"/>
  <c r="D15" i="4" s="1"/>
  <c r="D17" i="4" s="1"/>
  <c r="D18" i="4" s="1"/>
  <c r="C11" i="4"/>
  <c r="C15" i="4" s="1"/>
  <c r="C17" i="4" s="1"/>
  <c r="C18" i="4" s="1"/>
  <c r="B9" i="4"/>
  <c r="D98" i="3"/>
  <c r="M97" i="3"/>
  <c r="E97" i="3"/>
  <c r="C97" i="3"/>
  <c r="C96" i="3"/>
  <c r="D94" i="3"/>
  <c r="C89" i="3"/>
  <c r="C86" i="3"/>
  <c r="C85" i="3"/>
  <c r="D77" i="3"/>
  <c r="B77" i="3"/>
  <c r="B98" i="3" s="1"/>
  <c r="J76" i="3"/>
  <c r="C76" i="3"/>
  <c r="U75" i="3"/>
  <c r="C75" i="3"/>
  <c r="D73" i="3"/>
  <c r="B73" i="3"/>
  <c r="B94" i="3" s="1"/>
  <c r="AC69" i="3"/>
  <c r="AB69" i="3"/>
  <c r="Z69" i="3"/>
  <c r="Y69" i="3"/>
  <c r="X69" i="3"/>
  <c r="W69" i="3"/>
  <c r="U69" i="3"/>
  <c r="T69" i="3"/>
  <c r="R69" i="3"/>
  <c r="Q69" i="3"/>
  <c r="P69" i="3"/>
  <c r="O69" i="3"/>
  <c r="M69" i="3"/>
  <c r="L69" i="3"/>
  <c r="J69" i="3"/>
  <c r="I69" i="3"/>
  <c r="H69" i="3"/>
  <c r="G69" i="3"/>
  <c r="E69" i="3"/>
  <c r="D69" i="3"/>
  <c r="C68" i="3"/>
  <c r="AA69" i="3" s="1"/>
  <c r="C67" i="3"/>
  <c r="C88" i="3" s="1"/>
  <c r="U97" i="3" s="1"/>
  <c r="C65" i="3"/>
  <c r="C64" i="3"/>
  <c r="D55" i="3"/>
  <c r="X54" i="3"/>
  <c r="R54" i="3"/>
  <c r="B54" i="3"/>
  <c r="B76" i="3" s="1"/>
  <c r="B97" i="3" s="1"/>
  <c r="B53" i="3"/>
  <c r="B75" i="3" s="1"/>
  <c r="B96" i="3" s="1"/>
  <c r="D51" i="3"/>
  <c r="B50" i="3"/>
  <c r="B72" i="3" s="1"/>
  <c r="B93" i="3" s="1"/>
  <c r="B49" i="3"/>
  <c r="B71" i="3" s="1"/>
  <c r="B92" i="3" s="1"/>
  <c r="AC47" i="3"/>
  <c r="AB47" i="3"/>
  <c r="Z47" i="3"/>
  <c r="Y47" i="3"/>
  <c r="X47" i="3"/>
  <c r="W47" i="3"/>
  <c r="V47" i="3"/>
  <c r="U47" i="3"/>
  <c r="T47" i="3"/>
  <c r="R47" i="3"/>
  <c r="Q47" i="3"/>
  <c r="P47" i="3"/>
  <c r="O47" i="3"/>
  <c r="N47" i="3"/>
  <c r="M47" i="3"/>
  <c r="L47" i="3"/>
  <c r="J47" i="3"/>
  <c r="I47" i="3"/>
  <c r="H47" i="3"/>
  <c r="G47" i="3"/>
  <c r="F47" i="3"/>
  <c r="E47" i="3"/>
  <c r="D47" i="3"/>
  <c r="C46" i="3"/>
  <c r="AA47" i="3" s="1"/>
  <c r="C45" i="3"/>
  <c r="C44" i="3"/>
  <c r="C66" i="3" s="1"/>
  <c r="C43" i="3"/>
  <c r="C42" i="3"/>
  <c r="C32" i="3"/>
  <c r="C54" i="3" s="1"/>
  <c r="C31" i="3"/>
  <c r="C53" i="3" s="1"/>
  <c r="V53" i="3" s="1"/>
  <c r="E29" i="3"/>
  <c r="C93" i="3" s="1"/>
  <c r="AC93" i="3" s="1"/>
  <c r="C20" i="3"/>
  <c r="I15" i="3"/>
  <c r="I14" i="3"/>
  <c r="L13" i="3"/>
  <c r="Z76" i="3" s="1"/>
  <c r="I13" i="3"/>
  <c r="I12" i="3"/>
  <c r="I11" i="3"/>
  <c r="C29" i="3" s="1"/>
  <c r="I10" i="3"/>
  <c r="I9" i="3"/>
  <c r="I8" i="3"/>
  <c r="I7" i="3"/>
  <c r="H7" i="3"/>
  <c r="E27" i="2"/>
  <c r="C27" i="2"/>
  <c r="B21" i="2"/>
  <c r="D91" i="1"/>
  <c r="C91" i="1"/>
  <c r="C89" i="1"/>
  <c r="B89" i="1"/>
  <c r="B87" i="1"/>
  <c r="C86" i="1"/>
  <c r="D86" i="1" s="1"/>
  <c r="C85" i="1"/>
  <c r="D85" i="1" s="1"/>
  <c r="AA83" i="1"/>
  <c r="Y83" i="1"/>
  <c r="W83" i="1"/>
  <c r="V83" i="1"/>
  <c r="R83" i="1"/>
  <c r="O83" i="1"/>
  <c r="N83" i="1"/>
  <c r="M83" i="1"/>
  <c r="I83" i="1"/>
  <c r="F83" i="1"/>
  <c r="E83" i="1"/>
  <c r="D83" i="1"/>
  <c r="C82" i="1"/>
  <c r="AC83" i="1" s="1"/>
  <c r="C80" i="1"/>
  <c r="C79" i="1"/>
  <c r="D71" i="1"/>
  <c r="C71" i="1"/>
  <c r="B71" i="1"/>
  <c r="B91" i="1" s="1"/>
  <c r="AA70" i="1"/>
  <c r="T70" i="1"/>
  <c r="N70" i="1"/>
  <c r="I70" i="1"/>
  <c r="C70" i="1"/>
  <c r="AB70" i="1" s="1"/>
  <c r="B70" i="1"/>
  <c r="B90" i="1" s="1"/>
  <c r="C69" i="1"/>
  <c r="B69" i="1"/>
  <c r="C67" i="1"/>
  <c r="B67" i="1"/>
  <c r="D66" i="1"/>
  <c r="C66" i="1"/>
  <c r="B66" i="1"/>
  <c r="B86" i="1" s="1"/>
  <c r="C65" i="1"/>
  <c r="D65" i="1" s="1"/>
  <c r="AA63" i="1"/>
  <c r="Z63" i="1"/>
  <c r="Y63" i="1"/>
  <c r="U63" i="1"/>
  <c r="S63" i="1"/>
  <c r="R63" i="1"/>
  <c r="P63" i="1"/>
  <c r="M63" i="1"/>
  <c r="K63" i="1"/>
  <c r="I63" i="1"/>
  <c r="H63" i="1"/>
  <c r="E63" i="1"/>
  <c r="C62" i="1"/>
  <c r="C60" i="1"/>
  <c r="Y70" i="1" s="1"/>
  <c r="C59" i="1"/>
  <c r="D50" i="1"/>
  <c r="AB49" i="1"/>
  <c r="Y49" i="1"/>
  <c r="X49" i="1"/>
  <c r="W49" i="1"/>
  <c r="R49" i="1"/>
  <c r="P49" i="1"/>
  <c r="L49" i="1"/>
  <c r="J49" i="1"/>
  <c r="I49" i="1"/>
  <c r="G49" i="1"/>
  <c r="D46" i="1"/>
  <c r="D45" i="1"/>
  <c r="C44" i="1"/>
  <c r="D44" i="1" s="1"/>
  <c r="B44" i="1"/>
  <c r="B65" i="1" s="1"/>
  <c r="B85" i="1" s="1"/>
  <c r="AB42" i="1"/>
  <c r="Z42" i="1"/>
  <c r="Y42" i="1"/>
  <c r="X42" i="1"/>
  <c r="W42" i="1"/>
  <c r="V42" i="1"/>
  <c r="T42" i="1"/>
  <c r="R42" i="1"/>
  <c r="Q42" i="1"/>
  <c r="P42" i="1"/>
  <c r="O42" i="1"/>
  <c r="N42" i="1"/>
  <c r="L42" i="1"/>
  <c r="J42" i="1"/>
  <c r="I42" i="1"/>
  <c r="H42" i="1"/>
  <c r="G42" i="1"/>
  <c r="F42" i="1"/>
  <c r="D42" i="1"/>
  <c r="D51" i="1" s="1"/>
  <c r="C41" i="1"/>
  <c r="AC42" i="1" s="1"/>
  <c r="C40" i="1"/>
  <c r="C39" i="1"/>
  <c r="C38" i="1"/>
  <c r="C48" i="1"/>
  <c r="Z48" i="1" s="1"/>
  <c r="E23" i="1"/>
  <c r="E32" i="1" s="1"/>
  <c r="C78" i="1" s="1"/>
  <c r="C20" i="1"/>
  <c r="I15" i="1"/>
  <c r="H15" i="1"/>
  <c r="I14" i="1"/>
  <c r="H14" i="1"/>
  <c r="I13" i="1"/>
  <c r="H13" i="1"/>
  <c r="I12" i="1"/>
  <c r="H12" i="1"/>
  <c r="I11" i="1"/>
  <c r="H11" i="1"/>
  <c r="I10" i="1"/>
  <c r="H10" i="1"/>
  <c r="I9" i="1"/>
  <c r="H9" i="1"/>
  <c r="I8" i="1"/>
  <c r="H8" i="1"/>
  <c r="I7" i="1"/>
  <c r="H7" i="1"/>
  <c r="E48" i="1" l="1"/>
  <c r="AA48" i="1"/>
  <c r="I48" i="1"/>
  <c r="I51" i="1" s="1"/>
  <c r="U48" i="1"/>
  <c r="J48" i="1"/>
  <c r="X48" i="1"/>
  <c r="X51" i="1" s="1"/>
  <c r="L69" i="1"/>
  <c r="W69" i="1"/>
  <c r="J70" i="1"/>
  <c r="V70" i="1"/>
  <c r="U93" i="3"/>
  <c r="K48" i="1"/>
  <c r="C61" i="1"/>
  <c r="AB69" i="1" s="1"/>
  <c r="C87" i="1"/>
  <c r="D87" i="1" s="1"/>
  <c r="D92" i="1" s="1"/>
  <c r="D93" i="1" s="1"/>
  <c r="D67" i="1"/>
  <c r="K70" i="1"/>
  <c r="K72" i="1" s="1"/>
  <c r="K73" i="1" s="1"/>
  <c r="Y75" i="3"/>
  <c r="Q75" i="3"/>
  <c r="I75" i="3"/>
  <c r="W75" i="3"/>
  <c r="O75" i="3"/>
  <c r="G75" i="3"/>
  <c r="V75" i="3"/>
  <c r="N75" i="3"/>
  <c r="F75" i="3"/>
  <c r="C87" i="3"/>
  <c r="E75" i="3"/>
  <c r="AC75" i="3"/>
  <c r="U53" i="3"/>
  <c r="Y48" i="1"/>
  <c r="Y51" i="1" s="1"/>
  <c r="D23" i="1"/>
  <c r="D32" i="1" s="1"/>
  <c r="C58" i="1" s="1"/>
  <c r="C23" i="1"/>
  <c r="V49" i="1"/>
  <c r="N49" i="1"/>
  <c r="F49" i="1"/>
  <c r="AC49" i="1"/>
  <c r="U49" i="1"/>
  <c r="M49" i="1"/>
  <c r="E49" i="1"/>
  <c r="AA49" i="1"/>
  <c r="S49" i="1"/>
  <c r="K49" i="1"/>
  <c r="J51" i="1"/>
  <c r="M48" i="1"/>
  <c r="O49" i="1"/>
  <c r="Z49" i="1"/>
  <c r="W63" i="1"/>
  <c r="O63" i="1"/>
  <c r="O72" i="1" s="1"/>
  <c r="O73" i="1" s="1"/>
  <c r="G63" i="1"/>
  <c r="V63" i="1"/>
  <c r="N63" i="1"/>
  <c r="F63" i="1"/>
  <c r="AB63" i="1"/>
  <c r="T63" i="1"/>
  <c r="D63" i="1"/>
  <c r="D72" i="1" s="1"/>
  <c r="D73" i="1" s="1"/>
  <c r="Q63" i="1"/>
  <c r="AC63" i="1"/>
  <c r="N69" i="1"/>
  <c r="L70" i="1"/>
  <c r="Z70" i="1"/>
  <c r="C90" i="1"/>
  <c r="C27" i="3"/>
  <c r="P48" i="1"/>
  <c r="P51" i="1" s="1"/>
  <c r="AA69" i="1"/>
  <c r="AA72" i="1" s="1"/>
  <c r="AA73" i="1" s="1"/>
  <c r="S69" i="1"/>
  <c r="K69" i="1"/>
  <c r="R69" i="1"/>
  <c r="J69" i="1"/>
  <c r="P69" i="1"/>
  <c r="H69" i="1"/>
  <c r="O69" i="1"/>
  <c r="AC69" i="1"/>
  <c r="C23" i="3"/>
  <c r="E23" i="3"/>
  <c r="E36" i="3" s="1"/>
  <c r="C84" i="3" s="1"/>
  <c r="D23" i="3"/>
  <c r="D36" i="3" s="1"/>
  <c r="C63" i="3" s="1"/>
  <c r="W48" i="1"/>
  <c r="W51" i="1" s="1"/>
  <c r="O48" i="1"/>
  <c r="O51" i="1" s="1"/>
  <c r="G48" i="1"/>
  <c r="G51" i="1" s="1"/>
  <c r="V48" i="1"/>
  <c r="V51" i="1" s="1"/>
  <c r="N48" i="1"/>
  <c r="N51" i="1" s="1"/>
  <c r="F48" i="1"/>
  <c r="F51" i="1" s="1"/>
  <c r="AB48" i="1"/>
  <c r="AB51" i="1" s="1"/>
  <c r="T48" i="1"/>
  <c r="L48" i="1"/>
  <c r="L51" i="1" s="1"/>
  <c r="Q48" i="1"/>
  <c r="AC48" i="1"/>
  <c r="AC51" i="1" s="1"/>
  <c r="Q49" i="1"/>
  <c r="Q51" i="1" s="1"/>
  <c r="E69" i="1"/>
  <c r="Q69" i="1"/>
  <c r="Q70" i="1"/>
  <c r="Z93" i="3"/>
  <c r="R93" i="3"/>
  <c r="J93" i="3"/>
  <c r="Y93" i="3"/>
  <c r="Q93" i="3"/>
  <c r="I93" i="3"/>
  <c r="X93" i="3"/>
  <c r="P93" i="3"/>
  <c r="H93" i="3"/>
  <c r="W93" i="3"/>
  <c r="O93" i="3"/>
  <c r="G93" i="3"/>
  <c r="V93" i="3"/>
  <c r="N93" i="3"/>
  <c r="F93" i="3"/>
  <c r="AB93" i="3"/>
  <c r="T93" i="3"/>
  <c r="L93" i="3"/>
  <c r="AA93" i="3"/>
  <c r="S93" i="3"/>
  <c r="K93" i="3"/>
  <c r="M93" i="3"/>
  <c r="E93" i="3"/>
  <c r="R48" i="1"/>
  <c r="R51" i="1" s="1"/>
  <c r="T69" i="1"/>
  <c r="X70" i="1"/>
  <c r="P70" i="1"/>
  <c r="H70" i="1"/>
  <c r="H72" i="1" s="1"/>
  <c r="H73" i="1" s="1"/>
  <c r="W70" i="1"/>
  <c r="O70" i="1"/>
  <c r="G70" i="1"/>
  <c r="AC70" i="1"/>
  <c r="U70" i="1"/>
  <c r="M70" i="1"/>
  <c r="E70" i="1"/>
  <c r="R70" i="1"/>
  <c r="X53" i="3"/>
  <c r="P53" i="3"/>
  <c r="H53" i="3"/>
  <c r="W53" i="3"/>
  <c r="O53" i="3"/>
  <c r="G53" i="3"/>
  <c r="AB53" i="3"/>
  <c r="T53" i="3"/>
  <c r="L53" i="3"/>
  <c r="Z53" i="3"/>
  <c r="R53" i="3"/>
  <c r="J53" i="3"/>
  <c r="Y53" i="3"/>
  <c r="Q53" i="3"/>
  <c r="I53" i="3"/>
  <c r="S53" i="3"/>
  <c r="N53" i="3"/>
  <c r="M53" i="3"/>
  <c r="K53" i="3"/>
  <c r="AC53" i="3"/>
  <c r="F53" i="3"/>
  <c r="AA53" i="3"/>
  <c r="E53" i="3"/>
  <c r="Z51" i="1"/>
  <c r="H48" i="1"/>
  <c r="H51" i="1" s="1"/>
  <c r="S48" i="1"/>
  <c r="H49" i="1"/>
  <c r="T49" i="1"/>
  <c r="J63" i="1"/>
  <c r="X63" i="1"/>
  <c r="G69" i="1"/>
  <c r="U69" i="1"/>
  <c r="F70" i="1"/>
  <c r="S70" i="1"/>
  <c r="AC54" i="3"/>
  <c r="U54" i="3"/>
  <c r="M54" i="3"/>
  <c r="E54" i="3"/>
  <c r="AB54" i="3"/>
  <c r="T54" i="3"/>
  <c r="L54" i="3"/>
  <c r="AA54" i="3"/>
  <c r="S54" i="3"/>
  <c r="K54" i="3"/>
  <c r="Y54" i="3"/>
  <c r="Q54" i="3"/>
  <c r="I54" i="3"/>
  <c r="W54" i="3"/>
  <c r="O54" i="3"/>
  <c r="G54" i="3"/>
  <c r="V54" i="3"/>
  <c r="N54" i="3"/>
  <c r="F54" i="3"/>
  <c r="P54" i="3"/>
  <c r="J54" i="3"/>
  <c r="H54" i="3"/>
  <c r="Z54" i="3"/>
  <c r="M75" i="3"/>
  <c r="X90" i="3"/>
  <c r="P90" i="3"/>
  <c r="H90" i="3"/>
  <c r="W90" i="3"/>
  <c r="O90" i="3"/>
  <c r="G90" i="3"/>
  <c r="V90" i="3"/>
  <c r="N90" i="3"/>
  <c r="F90" i="3"/>
  <c r="AC90" i="3"/>
  <c r="AC99" i="3" s="1"/>
  <c r="AC100" i="3" s="1"/>
  <c r="U90" i="3"/>
  <c r="U99" i="3" s="1"/>
  <c r="U100" i="3" s="1"/>
  <c r="M90" i="3"/>
  <c r="E90" i="3"/>
  <c r="AB90" i="3"/>
  <c r="T90" i="3"/>
  <c r="L90" i="3"/>
  <c r="D90" i="3"/>
  <c r="Z90" i="3"/>
  <c r="R90" i="3"/>
  <c r="J90" i="3"/>
  <c r="Y90" i="3"/>
  <c r="Q90" i="3"/>
  <c r="I90" i="3"/>
  <c r="K42" i="1"/>
  <c r="S42" i="1"/>
  <c r="AA42" i="1"/>
  <c r="G83" i="1"/>
  <c r="Q83" i="1"/>
  <c r="Z83" i="1"/>
  <c r="W76" i="3"/>
  <c r="K90" i="3"/>
  <c r="AC96" i="3"/>
  <c r="AC97" i="3"/>
  <c r="S90" i="3"/>
  <c r="E42" i="1"/>
  <c r="E51" i="1" s="1"/>
  <c r="M42" i="1"/>
  <c r="U42" i="1"/>
  <c r="J83" i="1"/>
  <c r="S83" i="1"/>
  <c r="AB83" i="1"/>
  <c r="R76" i="3"/>
  <c r="AA90" i="3"/>
  <c r="C50" i="3"/>
  <c r="D29" i="3"/>
  <c r="C72" i="3" s="1"/>
  <c r="K83" i="1"/>
  <c r="T83" i="1"/>
  <c r="Z75" i="3"/>
  <c r="X83" i="1"/>
  <c r="P83" i="1"/>
  <c r="H83" i="1"/>
  <c r="L83" i="1"/>
  <c r="U83" i="1"/>
  <c r="W97" i="3"/>
  <c r="O97" i="3"/>
  <c r="G97" i="3"/>
  <c r="V97" i="3"/>
  <c r="N97" i="3"/>
  <c r="F97" i="3"/>
  <c r="Z97" i="3"/>
  <c r="B23" i="4"/>
  <c r="K47" i="3"/>
  <c r="S47" i="3"/>
  <c r="F69" i="3"/>
  <c r="N69" i="3"/>
  <c r="V69" i="3"/>
  <c r="K75" i="3"/>
  <c r="S75" i="3"/>
  <c r="AA75" i="3"/>
  <c r="H76" i="3"/>
  <c r="P76" i="3"/>
  <c r="X76" i="3"/>
  <c r="F96" i="3"/>
  <c r="N96" i="3"/>
  <c r="V96" i="3"/>
  <c r="K97" i="3"/>
  <c r="S97" i="3"/>
  <c r="AA97" i="3"/>
  <c r="L75" i="3"/>
  <c r="T75" i="3"/>
  <c r="AB75" i="3"/>
  <c r="I76" i="3"/>
  <c r="Q76" i="3"/>
  <c r="Y76" i="3"/>
  <c r="G96" i="3"/>
  <c r="W96" i="3"/>
  <c r="L97" i="3"/>
  <c r="T97" i="3"/>
  <c r="AB97" i="3"/>
  <c r="B18" i="4"/>
  <c r="K76" i="3"/>
  <c r="S76" i="3"/>
  <c r="AA76" i="3"/>
  <c r="L76" i="3"/>
  <c r="T76" i="3"/>
  <c r="AB76" i="3"/>
  <c r="K69" i="3"/>
  <c r="S69" i="3"/>
  <c r="H75" i="3"/>
  <c r="P75" i="3"/>
  <c r="X75" i="3"/>
  <c r="E76" i="3"/>
  <c r="M76" i="3"/>
  <c r="U76" i="3"/>
  <c r="AC76" i="3"/>
  <c r="K96" i="3"/>
  <c r="S96" i="3"/>
  <c r="AA96" i="3"/>
  <c r="H97" i="3"/>
  <c r="P97" i="3"/>
  <c r="X97" i="3"/>
  <c r="F76" i="3"/>
  <c r="N76" i="3"/>
  <c r="V76" i="3"/>
  <c r="L96" i="3"/>
  <c r="T96" i="3"/>
  <c r="I97" i="3"/>
  <c r="Q97" i="3"/>
  <c r="Y97" i="3"/>
  <c r="J75" i="3"/>
  <c r="R75" i="3"/>
  <c r="G76" i="3"/>
  <c r="O76" i="3"/>
  <c r="E96" i="3"/>
  <c r="M96" i="3"/>
  <c r="U96" i="3"/>
  <c r="J97" i="3"/>
  <c r="R97" i="3"/>
  <c r="S51" i="1" l="1"/>
  <c r="K51" i="1"/>
  <c r="M51" i="1"/>
  <c r="E72" i="1"/>
  <c r="E73" i="1" s="1"/>
  <c r="L72" i="1"/>
  <c r="L73" i="1" s="1"/>
  <c r="P72" i="1"/>
  <c r="P73" i="1" s="1"/>
  <c r="R72" i="1"/>
  <c r="R73" i="1" s="1"/>
  <c r="U72" i="1"/>
  <c r="U73" i="1" s="1"/>
  <c r="S72" i="1"/>
  <c r="S73" i="1" s="1"/>
  <c r="C32" i="1"/>
  <c r="B24" i="2" s="1"/>
  <c r="C37" i="1"/>
  <c r="X52" i="1" s="1"/>
  <c r="AA51" i="1"/>
  <c r="C28" i="3"/>
  <c r="E27" i="3"/>
  <c r="D27" i="3"/>
  <c r="C49" i="3"/>
  <c r="D49" i="3" s="1"/>
  <c r="D56" i="3" s="1"/>
  <c r="S78" i="3"/>
  <c r="S79" i="3" s="1"/>
  <c r="H21" i="4"/>
  <c r="I22" i="4" s="1"/>
  <c r="L19" i="4"/>
  <c r="D19" i="4"/>
  <c r="G21" i="4"/>
  <c r="K19" i="4"/>
  <c r="C19" i="4"/>
  <c r="F21" i="4"/>
  <c r="J19" i="4"/>
  <c r="B19" i="4"/>
  <c r="E21" i="4"/>
  <c r="I19" i="4"/>
  <c r="L21" i="4"/>
  <c r="D21" i="4"/>
  <c r="H19" i="4"/>
  <c r="K21" i="4"/>
  <c r="C21" i="4"/>
  <c r="D22" i="4" s="1"/>
  <c r="G19" i="4"/>
  <c r="J21" i="4"/>
  <c r="B21" i="4"/>
  <c r="F19" i="4"/>
  <c r="I21" i="4"/>
  <c r="B20" i="4"/>
  <c r="E19" i="4"/>
  <c r="W72" i="3"/>
  <c r="W78" i="3" s="1"/>
  <c r="W79" i="3" s="1"/>
  <c r="O72" i="3"/>
  <c r="O78" i="3" s="1"/>
  <c r="O79" i="3" s="1"/>
  <c r="G72" i="3"/>
  <c r="G78" i="3" s="1"/>
  <c r="G79" i="3" s="1"/>
  <c r="V72" i="3"/>
  <c r="N72" i="3"/>
  <c r="N78" i="3" s="1"/>
  <c r="N79" i="3" s="1"/>
  <c r="F72" i="3"/>
  <c r="AC72" i="3"/>
  <c r="AC78" i="3" s="1"/>
  <c r="AC79" i="3" s="1"/>
  <c r="U72" i="3"/>
  <c r="U78" i="3" s="1"/>
  <c r="U79" i="3" s="1"/>
  <c r="M72" i="3"/>
  <c r="M78" i="3" s="1"/>
  <c r="M79" i="3" s="1"/>
  <c r="E72" i="3"/>
  <c r="E78" i="3" s="1"/>
  <c r="E79" i="3" s="1"/>
  <c r="AB72" i="3"/>
  <c r="AB78" i="3" s="1"/>
  <c r="AB79" i="3" s="1"/>
  <c r="T72" i="3"/>
  <c r="T78" i="3" s="1"/>
  <c r="T79" i="3" s="1"/>
  <c r="L72" i="3"/>
  <c r="L78" i="3" s="1"/>
  <c r="L79" i="3" s="1"/>
  <c r="AA72" i="3"/>
  <c r="AA78" i="3" s="1"/>
  <c r="AA79" i="3" s="1"/>
  <c r="S72" i="3"/>
  <c r="K72" i="3"/>
  <c r="Y72" i="3"/>
  <c r="Y78" i="3" s="1"/>
  <c r="Y79" i="3" s="1"/>
  <c r="Q72" i="3"/>
  <c r="Q78" i="3" s="1"/>
  <c r="Q79" i="3" s="1"/>
  <c r="I72" i="3"/>
  <c r="I78" i="3" s="1"/>
  <c r="I79" i="3" s="1"/>
  <c r="X72" i="3"/>
  <c r="X78" i="3" s="1"/>
  <c r="X79" i="3" s="1"/>
  <c r="P72" i="3"/>
  <c r="P78" i="3" s="1"/>
  <c r="P79" i="3" s="1"/>
  <c r="H72" i="3"/>
  <c r="H78" i="3" s="1"/>
  <c r="H79" i="3" s="1"/>
  <c r="Z72" i="3"/>
  <c r="Z78" i="3" s="1"/>
  <c r="Z79" i="3" s="1"/>
  <c r="R72" i="3"/>
  <c r="R78" i="3" s="1"/>
  <c r="R79" i="3" s="1"/>
  <c r="J72" i="3"/>
  <c r="J78" i="3" s="1"/>
  <c r="J79" i="3" s="1"/>
  <c r="S99" i="3"/>
  <c r="S100" i="3" s="1"/>
  <c r="F99" i="3"/>
  <c r="F100" i="3" s="1"/>
  <c r="C41" i="3"/>
  <c r="C36" i="3"/>
  <c r="Z69" i="1"/>
  <c r="Z72" i="1" s="1"/>
  <c r="Z73" i="1" s="1"/>
  <c r="Y90" i="1"/>
  <c r="Q90" i="1"/>
  <c r="I90" i="1"/>
  <c r="U90" i="1"/>
  <c r="L90" i="1"/>
  <c r="AC90" i="1"/>
  <c r="T90" i="1"/>
  <c r="K90" i="1"/>
  <c r="AB90" i="1"/>
  <c r="S90" i="1"/>
  <c r="J90" i="1"/>
  <c r="Z90" i="1"/>
  <c r="P90" i="1"/>
  <c r="G90" i="1"/>
  <c r="M90" i="1"/>
  <c r="AA90" i="1"/>
  <c r="H90" i="1"/>
  <c r="X90" i="1"/>
  <c r="F90" i="1"/>
  <c r="N90" i="1"/>
  <c r="W90" i="1"/>
  <c r="E90" i="1"/>
  <c r="V90" i="1"/>
  <c r="R90" i="1"/>
  <c r="O90" i="1"/>
  <c r="T72" i="1"/>
  <c r="T73" i="1" s="1"/>
  <c r="K78" i="3"/>
  <c r="K79" i="3" s="1"/>
  <c r="N99" i="3"/>
  <c r="N100" i="3" s="1"/>
  <c r="AB72" i="1"/>
  <c r="AB73" i="1" s="1"/>
  <c r="Z96" i="3"/>
  <c r="R96" i="3"/>
  <c r="R99" i="3" s="1"/>
  <c r="R100" i="3" s="1"/>
  <c r="J96" i="3"/>
  <c r="Y96" i="3"/>
  <c r="Q96" i="3"/>
  <c r="I96" i="3"/>
  <c r="I99" i="3" s="1"/>
  <c r="I100" i="3" s="1"/>
  <c r="X96" i="3"/>
  <c r="X99" i="3" s="1"/>
  <c r="X100" i="3" s="1"/>
  <c r="P96" i="3"/>
  <c r="P99" i="3" s="1"/>
  <c r="P100" i="3" s="1"/>
  <c r="H96" i="3"/>
  <c r="H99" i="3"/>
  <c r="H100" i="3" s="1"/>
  <c r="AB50" i="3"/>
  <c r="AB56" i="3" s="1"/>
  <c r="AB57" i="3" s="1"/>
  <c r="T50" i="3"/>
  <c r="T56" i="3" s="1"/>
  <c r="L50" i="3"/>
  <c r="L56" i="3" s="1"/>
  <c r="AA50" i="3"/>
  <c r="AA56" i="3" s="1"/>
  <c r="S50" i="3"/>
  <c r="K50" i="3"/>
  <c r="X50" i="3"/>
  <c r="X56" i="3" s="1"/>
  <c r="P50" i="3"/>
  <c r="P56" i="3" s="1"/>
  <c r="H50" i="3"/>
  <c r="H56" i="3" s="1"/>
  <c r="H57" i="3" s="1"/>
  <c r="V50" i="3"/>
  <c r="V56" i="3" s="1"/>
  <c r="N50" i="3"/>
  <c r="N56" i="3" s="1"/>
  <c r="F50" i="3"/>
  <c r="F56" i="3" s="1"/>
  <c r="AC50" i="3"/>
  <c r="AC56" i="3" s="1"/>
  <c r="AC57" i="3" s="1"/>
  <c r="U50" i="3"/>
  <c r="U56" i="3" s="1"/>
  <c r="M50" i="3"/>
  <c r="M56" i="3" s="1"/>
  <c r="E50" i="3"/>
  <c r="E56" i="3" s="1"/>
  <c r="Z50" i="3"/>
  <c r="Z56" i="3" s="1"/>
  <c r="Z57" i="3" s="1"/>
  <c r="G50" i="3"/>
  <c r="G56" i="3" s="1"/>
  <c r="Y50" i="3"/>
  <c r="Y56" i="3" s="1"/>
  <c r="W50" i="3"/>
  <c r="W56" i="3" s="1"/>
  <c r="R50" i="3"/>
  <c r="R56" i="3" s="1"/>
  <c r="R57" i="3" s="1"/>
  <c r="Q50" i="3"/>
  <c r="Q56" i="3" s="1"/>
  <c r="O50" i="3"/>
  <c r="O56" i="3" s="1"/>
  <c r="J50" i="3"/>
  <c r="J56" i="3" s="1"/>
  <c r="I50" i="3"/>
  <c r="I56" i="3" s="1"/>
  <c r="I57" i="3" s="1"/>
  <c r="L99" i="3"/>
  <c r="L100" i="3" s="1"/>
  <c r="AA99" i="3"/>
  <c r="AA100" i="3" s="1"/>
  <c r="T99" i="3"/>
  <c r="T100" i="3" s="1"/>
  <c r="V99" i="3"/>
  <c r="V100" i="3" s="1"/>
  <c r="J72" i="1"/>
  <c r="J73" i="1" s="1"/>
  <c r="F72" i="1"/>
  <c r="F73" i="1" s="1"/>
  <c r="C81" i="1"/>
  <c r="I69" i="1"/>
  <c r="I72" i="1" s="1"/>
  <c r="I73" i="1" s="1"/>
  <c r="V69" i="1"/>
  <c r="F78" i="3"/>
  <c r="F79" i="3" s="1"/>
  <c r="Q99" i="3"/>
  <c r="Q100" i="3" s="1"/>
  <c r="G99" i="3"/>
  <c r="G100" i="3" s="1"/>
  <c r="N72" i="1"/>
  <c r="N73" i="1" s="1"/>
  <c r="Z99" i="3"/>
  <c r="Z100" i="3" s="1"/>
  <c r="W72" i="1"/>
  <c r="W73" i="1" s="1"/>
  <c r="V78" i="3"/>
  <c r="V79" i="3" s="1"/>
  <c r="S56" i="3"/>
  <c r="S57" i="3" s="1"/>
  <c r="U51" i="1"/>
  <c r="Y99" i="3"/>
  <c r="Y100" i="3" s="1"/>
  <c r="T51" i="1"/>
  <c r="AC72" i="1"/>
  <c r="AC73" i="1" s="1"/>
  <c r="V72" i="1"/>
  <c r="V73" i="1" s="1"/>
  <c r="Y69" i="1"/>
  <c r="Y72" i="1" s="1"/>
  <c r="Y73" i="1" s="1"/>
  <c r="X72" i="1"/>
  <c r="X73" i="1" s="1"/>
  <c r="E99" i="3"/>
  <c r="E100" i="3" s="1"/>
  <c r="AB96" i="3"/>
  <c r="AB99" i="3" s="1"/>
  <c r="AB100" i="3" s="1"/>
  <c r="O96" i="3"/>
  <c r="O99" i="3" s="1"/>
  <c r="O100" i="3" s="1"/>
  <c r="K56" i="3"/>
  <c r="K99" i="3"/>
  <c r="K100" i="3" s="1"/>
  <c r="J99" i="3"/>
  <c r="J100" i="3" s="1"/>
  <c r="M99" i="3"/>
  <c r="M100" i="3" s="1"/>
  <c r="W99" i="3"/>
  <c r="W100" i="3" s="1"/>
  <c r="F69" i="1"/>
  <c r="X69" i="1"/>
  <c r="Q72" i="1"/>
  <c r="Q73" i="1" s="1"/>
  <c r="G72" i="1"/>
  <c r="G73" i="1" s="1"/>
  <c r="M69" i="1"/>
  <c r="M72" i="1" s="1"/>
  <c r="M73" i="1" s="1"/>
  <c r="H22" i="4" l="1"/>
  <c r="D74" i="1"/>
  <c r="D33" i="1" s="1"/>
  <c r="C15" i="2" s="1"/>
  <c r="E28" i="3"/>
  <c r="C92" i="3"/>
  <c r="D92" i="3" s="1"/>
  <c r="D99" i="3" s="1"/>
  <c r="D100" i="3" s="1"/>
  <c r="D101" i="3" s="1"/>
  <c r="E37" i="3" s="1"/>
  <c r="U89" i="1"/>
  <c r="U92" i="1" s="1"/>
  <c r="U93" i="1" s="1"/>
  <c r="K89" i="1"/>
  <c r="K92" i="1" s="1"/>
  <c r="K93" i="1" s="1"/>
  <c r="AC89" i="1"/>
  <c r="AC92" i="1" s="1"/>
  <c r="AC93" i="1" s="1"/>
  <c r="S89" i="1"/>
  <c r="S92" i="1" s="1"/>
  <c r="S93" i="1" s="1"/>
  <c r="J89" i="1"/>
  <c r="J92" i="1" s="1"/>
  <c r="J93" i="1" s="1"/>
  <c r="AA89" i="1"/>
  <c r="AA92" i="1" s="1"/>
  <c r="AA93" i="1" s="1"/>
  <c r="R89" i="1"/>
  <c r="R92" i="1" s="1"/>
  <c r="R93" i="1" s="1"/>
  <c r="I89" i="1"/>
  <c r="I92" i="1" s="1"/>
  <c r="I93" i="1" s="1"/>
  <c r="Y89" i="1"/>
  <c r="Y92" i="1" s="1"/>
  <c r="Y93" i="1" s="1"/>
  <c r="P89" i="1"/>
  <c r="P92" i="1" s="1"/>
  <c r="P93" i="1" s="1"/>
  <c r="G89" i="1"/>
  <c r="G92" i="1" s="1"/>
  <c r="G93" i="1" s="1"/>
  <c r="V89" i="1"/>
  <c r="V92" i="1" s="1"/>
  <c r="V93" i="1" s="1"/>
  <c r="Q89" i="1"/>
  <c r="Q92" i="1" s="1"/>
  <c r="Q93" i="1" s="1"/>
  <c r="O89" i="1"/>
  <c r="O92" i="1" s="1"/>
  <c r="O93" i="1" s="1"/>
  <c r="N89" i="1"/>
  <c r="N92" i="1" s="1"/>
  <c r="N93" i="1" s="1"/>
  <c r="M89" i="1"/>
  <c r="M92" i="1" s="1"/>
  <c r="M93" i="1" s="1"/>
  <c r="E89" i="1"/>
  <c r="E92" i="1" s="1"/>
  <c r="E93" i="1" s="1"/>
  <c r="Z89" i="1"/>
  <c r="Z92" i="1" s="1"/>
  <c r="Z93" i="1" s="1"/>
  <c r="H89" i="1"/>
  <c r="H92" i="1" s="1"/>
  <c r="H93" i="1" s="1"/>
  <c r="W89" i="1"/>
  <c r="W92" i="1" s="1"/>
  <c r="W93" i="1" s="1"/>
  <c r="X89" i="1"/>
  <c r="X92" i="1" s="1"/>
  <c r="X93" i="1" s="1"/>
  <c r="F89" i="1"/>
  <c r="F92" i="1" s="1"/>
  <c r="F93" i="1" s="1"/>
  <c r="AB89" i="1"/>
  <c r="AB92" i="1" s="1"/>
  <c r="AB93" i="1" s="1"/>
  <c r="L89" i="1"/>
  <c r="L92" i="1" s="1"/>
  <c r="L93" i="1" s="1"/>
  <c r="T89" i="1"/>
  <c r="T92" i="1" s="1"/>
  <c r="T93" i="1" s="1"/>
  <c r="W57" i="3"/>
  <c r="F57" i="3"/>
  <c r="AA57" i="3"/>
  <c r="C22" i="4"/>
  <c r="B22" i="4" s="1"/>
  <c r="H52" i="1"/>
  <c r="L52" i="1"/>
  <c r="T52" i="1"/>
  <c r="Y57" i="3"/>
  <c r="N57" i="3"/>
  <c r="L57" i="3"/>
  <c r="S52" i="1"/>
  <c r="K22" i="4"/>
  <c r="F22" i="4"/>
  <c r="N52" i="1"/>
  <c r="O52" i="1"/>
  <c r="G57" i="3"/>
  <c r="V57" i="3"/>
  <c r="T57" i="3"/>
  <c r="AA52" i="1"/>
  <c r="D52" i="1"/>
  <c r="I52" i="1"/>
  <c r="R52" i="1"/>
  <c r="J57" i="3"/>
  <c r="E57" i="3"/>
  <c r="P57" i="3"/>
  <c r="V52" i="1"/>
  <c r="L22" i="4"/>
  <c r="G22" i="4"/>
  <c r="W52" i="1"/>
  <c r="G52" i="1"/>
  <c r="M52" i="1"/>
  <c r="Z52" i="1"/>
  <c r="U52" i="1"/>
  <c r="M57" i="3"/>
  <c r="X57" i="3"/>
  <c r="AB52" i="1"/>
  <c r="P52" i="1"/>
  <c r="D57" i="3"/>
  <c r="Q52" i="1"/>
  <c r="F52" i="1"/>
  <c r="J52" i="1"/>
  <c r="K52" i="1"/>
  <c r="O57" i="3"/>
  <c r="K57" i="3"/>
  <c r="Q57" i="3"/>
  <c r="U57" i="3"/>
  <c r="Y52" i="1"/>
  <c r="J22" i="4"/>
  <c r="E22" i="4"/>
  <c r="C71" i="3"/>
  <c r="D71" i="3" s="1"/>
  <c r="D78" i="3" s="1"/>
  <c r="D79" i="3" s="1"/>
  <c r="D80" i="3" s="1"/>
  <c r="D37" i="3" s="1"/>
  <c r="D28" i="3"/>
  <c r="E52" i="1"/>
  <c r="AC52" i="1"/>
  <c r="W53" i="1" l="1"/>
  <c r="O53" i="1"/>
  <c r="G53" i="1"/>
  <c r="D54" i="1"/>
  <c r="C33" i="1" s="1"/>
  <c r="B10" i="2" s="1"/>
  <c r="V53" i="1"/>
  <c r="N53" i="1"/>
  <c r="F53" i="1"/>
  <c r="AB53" i="1"/>
  <c r="T53" i="1"/>
  <c r="L53" i="1"/>
  <c r="D53" i="1"/>
  <c r="AC53" i="1"/>
  <c r="Q53" i="1"/>
  <c r="AA53" i="1"/>
  <c r="P53" i="1"/>
  <c r="Z53" i="1"/>
  <c r="M53" i="1"/>
  <c r="K53" i="1"/>
  <c r="Y53" i="1"/>
  <c r="E53" i="1"/>
  <c r="X53" i="1"/>
  <c r="J53" i="1"/>
  <c r="U53" i="1"/>
  <c r="I53" i="1"/>
  <c r="R53" i="1"/>
  <c r="S53" i="1"/>
  <c r="H53" i="1"/>
  <c r="D94" i="1"/>
  <c r="E33" i="1" s="1"/>
  <c r="E15" i="2" s="1"/>
  <c r="D59" i="3"/>
  <c r="C37" i="3" s="1"/>
  <c r="V58" i="3"/>
  <c r="N58" i="3"/>
  <c r="F58" i="3"/>
  <c r="AC58" i="3"/>
  <c r="U58" i="3"/>
  <c r="M58" i="3"/>
  <c r="E58" i="3"/>
  <c r="AB58" i="3"/>
  <c r="T58" i="3"/>
  <c r="L58" i="3"/>
  <c r="D58" i="3"/>
  <c r="AA58" i="3"/>
  <c r="S58" i="3"/>
  <c r="K58" i="3"/>
  <c r="Z58" i="3"/>
  <c r="R58" i="3"/>
  <c r="J58" i="3"/>
  <c r="X58" i="3"/>
  <c r="P58" i="3"/>
  <c r="H58" i="3"/>
  <c r="W58" i="3"/>
  <c r="O58" i="3"/>
  <c r="G58" i="3"/>
  <c r="Y58" i="3"/>
  <c r="Q58" i="3"/>
  <c r="I58" i="3"/>
</calcChain>
</file>

<file path=xl/sharedStrings.xml><?xml version="1.0" encoding="utf-8"?>
<sst xmlns="http://schemas.openxmlformats.org/spreadsheetml/2006/main" count="362" uniqueCount="167">
  <si>
    <t>DATENAUFBEREITUNG NACH DIN EN 17463</t>
  </si>
  <si>
    <t xml:space="preserve">Tab. 1: Quantifizierung der Nutzen und Lasten </t>
  </si>
  <si>
    <t>(nur grüne Felder bearbeiten)</t>
  </si>
  <si>
    <t>Wirkungen von ERI</t>
  </si>
  <si>
    <t>Umfang der Last bzw. des Nutzens (nur numerisch)</t>
  </si>
  <si>
    <t>Einheit</t>
  </si>
  <si>
    <t>Monetarisierung möglich (ja/nein)?</t>
  </si>
  <si>
    <t>Aktuelle spezifische Kosten/Nutzen (nur numerisch)</t>
  </si>
  <si>
    <t>Betrag [€]</t>
  </si>
  <si>
    <t>Zeitpunkt der Zahlung</t>
  </si>
  <si>
    <t>Preisänderungs-rate [%/a]</t>
  </si>
  <si>
    <t>Degradation [%]</t>
  </si>
  <si>
    <t>Aufnahme in den Abschlussbericht?</t>
  </si>
  <si>
    <t>Beispiel für “Last” =&gt;</t>
  </si>
  <si>
    <t>Anschaffung von Hocheffizienz-Elektromotoren xyz</t>
  </si>
  <si>
    <t>Stk.</t>
  </si>
  <si>
    <t>ja</t>
  </si>
  <si>
    <t>im Jahr 0</t>
  </si>
  <si>
    <t>-</t>
  </si>
  <si>
    <t>Last</t>
  </si>
  <si>
    <t>Investitionsauszahlung für neue Pumpen</t>
  </si>
  <si>
    <t>Jahr 0</t>
  </si>
  <si>
    <t>–</t>
  </si>
  <si>
    <t>nicht anwendbar</t>
  </si>
  <si>
    <t>Auslegung eines neuen Pumpensystems</t>
  </si>
  <si>
    <t>h</t>
  </si>
  <si>
    <t>Produktionsausfälle bei der Inbetriebnahme</t>
  </si>
  <si>
    <t>jährliche Energieeinsparung (Strom)</t>
  </si>
  <si>
    <t>kWh/a</t>
  </si>
  <si>
    <t>jedes Jahr</t>
  </si>
  <si>
    <t>+3 %/a</t>
  </si>
  <si>
    <t>+0 %/a</t>
  </si>
  <si>
    <t>Nutzen</t>
  </si>
  <si>
    <t>geringere Wartung</t>
  </si>
  <si>
    <t>h/a</t>
  </si>
  <si>
    <t>+2 %/a</t>
  </si>
  <si>
    <t>Lärmminderung</t>
  </si>
  <si>
    <t>dB</t>
  </si>
  <si>
    <t>nein</t>
  </si>
  <si>
    <t>Schrottwert alter Pumpen</t>
  </si>
  <si>
    <t>neues Pumpsystem benötigt weniger Platz</t>
  </si>
  <si>
    <t>m2</t>
  </si>
  <si>
    <t>Tab. 2: Ermittlung des Zinssatzes</t>
  </si>
  <si>
    <t>Bestimmung des Zinssatzes</t>
  </si>
  <si>
    <t>Wahrscheinlicher Fall</t>
  </si>
  <si>
    <t>Worst Case</t>
  </si>
  <si>
    <t>Best Case</t>
  </si>
  <si>
    <r>
      <rPr>
        <sz val="14"/>
        <color indexed="8"/>
        <rFont val="Helvetica Neue"/>
        <family val="2"/>
      </rPr>
      <t>Eigenkapitalanteil S</t>
    </r>
    <r>
      <rPr>
        <vertAlign val="subscript"/>
        <sz val="14"/>
        <color indexed="8"/>
        <rFont val="Helvetica Neue"/>
        <family val="2"/>
      </rPr>
      <t>eq</t>
    </r>
    <r>
      <rPr>
        <sz val="14"/>
        <color indexed="8"/>
        <rFont val="Helvetica Neue"/>
        <family val="2"/>
      </rPr>
      <t xml:space="preserve"> (= C</t>
    </r>
    <r>
      <rPr>
        <vertAlign val="subscript"/>
        <sz val="14"/>
        <color indexed="8"/>
        <rFont val="Helvetica Neue"/>
        <family val="2"/>
      </rPr>
      <t>eq</t>
    </r>
    <r>
      <rPr>
        <sz val="14"/>
        <color indexed="8"/>
        <rFont val="Helvetica Neue"/>
        <family val="2"/>
      </rPr>
      <t> / C</t>
    </r>
    <r>
      <rPr>
        <vertAlign val="subscript"/>
        <sz val="14"/>
        <color indexed="8"/>
        <rFont val="Helvetica Neue"/>
        <family val="2"/>
      </rPr>
      <t>invest</t>
    </r>
    <r>
      <rPr>
        <sz val="14"/>
        <color indexed="8"/>
        <rFont val="Helvetica Neue"/>
        <family val="2"/>
      </rPr>
      <t>) [%]</t>
    </r>
  </si>
  <si>
    <r>
      <rPr>
        <sz val="14"/>
        <color indexed="8"/>
        <rFont val="Helvetica Neue"/>
        <family val="2"/>
      </rPr>
      <t>Fremdkapitalanteil S</t>
    </r>
    <r>
      <rPr>
        <vertAlign val="subscript"/>
        <sz val="14"/>
        <color indexed="8"/>
        <rFont val="Helvetica Neue"/>
        <family val="2"/>
      </rPr>
      <t>debt</t>
    </r>
    <r>
      <rPr>
        <sz val="14"/>
        <color indexed="8"/>
        <rFont val="Helvetica Neue"/>
        <family val="2"/>
      </rPr>
      <t xml:space="preserve"> (= C</t>
    </r>
    <r>
      <rPr>
        <vertAlign val="subscript"/>
        <sz val="14"/>
        <color indexed="8"/>
        <rFont val="Helvetica Neue"/>
        <family val="2"/>
      </rPr>
      <t>debt</t>
    </r>
    <r>
      <rPr>
        <sz val="14"/>
        <color indexed="8"/>
        <rFont val="Helvetica Neue"/>
        <family val="2"/>
      </rPr>
      <t> / C</t>
    </r>
    <r>
      <rPr>
        <vertAlign val="subscript"/>
        <sz val="14"/>
        <color indexed="8"/>
        <rFont val="Helvetica Neue"/>
        <family val="2"/>
      </rPr>
      <t>invest</t>
    </r>
    <r>
      <rPr>
        <sz val="14"/>
        <color indexed="8"/>
        <rFont val="Helvetica Neue"/>
        <family val="2"/>
      </rPr>
      <t>) [%]</t>
    </r>
  </si>
  <si>
    <r>
      <rPr>
        <sz val="14"/>
        <color indexed="8"/>
        <rFont val="Helvetica Neue"/>
        <family val="2"/>
      </rPr>
      <t>r</t>
    </r>
    <r>
      <rPr>
        <vertAlign val="subscript"/>
        <sz val="14"/>
        <color indexed="8"/>
        <rFont val="Helvetica Neue"/>
        <family val="2"/>
      </rPr>
      <t>eq</t>
    </r>
    <r>
      <rPr>
        <sz val="14"/>
        <color indexed="8"/>
        <rFont val="Helvetica Neue"/>
        <family val="2"/>
      </rPr>
      <t> = Zinssatz für Eigenkapital [%]</t>
    </r>
  </si>
  <si>
    <r>
      <rPr>
        <sz val="14"/>
        <color indexed="8"/>
        <rFont val="Helvetica Neue"/>
        <family val="2"/>
      </rPr>
      <t>r</t>
    </r>
    <r>
      <rPr>
        <vertAlign val="subscript"/>
        <sz val="14"/>
        <color indexed="8"/>
        <rFont val="Helvetica Neue"/>
        <family val="2"/>
      </rPr>
      <t>debt</t>
    </r>
    <r>
      <rPr>
        <sz val="14"/>
        <color indexed="8"/>
        <rFont val="Helvetica Neue"/>
        <family val="2"/>
      </rPr>
      <t> = Zinssatz des Fremdkapitals [%]</t>
    </r>
  </si>
  <si>
    <r>
      <rPr>
        <sz val="14"/>
        <color indexed="8"/>
        <rFont val="Helvetica Neue"/>
        <family val="2"/>
      </rPr>
      <t>r = gewichtete durchschnittliche Kapitalkosten WACC (= S</t>
    </r>
    <r>
      <rPr>
        <vertAlign val="subscript"/>
        <sz val="14"/>
        <color indexed="8"/>
        <rFont val="Helvetica Neue"/>
        <family val="2"/>
      </rPr>
      <t>eq</t>
    </r>
    <r>
      <rPr>
        <sz val="14"/>
        <color indexed="8"/>
        <rFont val="Helvetica Neue"/>
        <family val="2"/>
      </rPr>
      <t> ⋅ r</t>
    </r>
    <r>
      <rPr>
        <vertAlign val="subscript"/>
        <sz val="14"/>
        <color indexed="8"/>
        <rFont val="Helvetica Neue"/>
        <family val="2"/>
      </rPr>
      <t>eq</t>
    </r>
    <r>
      <rPr>
        <sz val="14"/>
        <color indexed="8"/>
        <rFont val="Helvetica Neue"/>
        <family val="2"/>
      </rPr>
      <t> + S</t>
    </r>
    <r>
      <rPr>
        <vertAlign val="subscript"/>
        <sz val="14"/>
        <color indexed="8"/>
        <rFont val="Helvetica Neue"/>
        <family val="2"/>
      </rPr>
      <t>debt</t>
    </r>
    <r>
      <rPr>
        <sz val="14"/>
        <color indexed="8"/>
        <rFont val="Helvetica Neue"/>
        <family val="2"/>
      </rPr>
      <t> ⋅ r</t>
    </r>
    <r>
      <rPr>
        <vertAlign val="subscript"/>
        <sz val="14"/>
        <color indexed="8"/>
        <rFont val="Helvetica Neue"/>
        <family val="2"/>
      </rPr>
      <t>debt</t>
    </r>
    <r>
      <rPr>
        <sz val="14"/>
        <color indexed="8"/>
        <rFont val="Helvetica Neue"/>
        <family val="2"/>
      </rPr>
      <t>)</t>
    </r>
  </si>
  <si>
    <t>Tab. 3: Parameterwerte der Szenario-Analyse</t>
  </si>
  <si>
    <r>
      <rPr>
        <sz val="14"/>
        <color indexed="8"/>
        <rFont val="Helvetica Neue"/>
        <family val="2"/>
      </rPr>
      <t>Einstellparameter</t>
    </r>
  </si>
  <si>
    <r>
      <rPr>
        <sz val="14"/>
        <color indexed="8"/>
        <rFont val="Helvetica Neue"/>
        <family val="2"/>
      </rPr>
      <t>Wahrscheinlicher Fall</t>
    </r>
  </si>
  <si>
    <r>
      <rPr>
        <sz val="14"/>
        <color indexed="8"/>
        <rFont val="Helvetica Neue"/>
        <family val="2"/>
      </rPr>
      <t>Worst-Case</t>
    </r>
  </si>
  <si>
    <r>
      <rPr>
        <sz val="14"/>
        <color indexed="8"/>
        <rFont val="Helvetica Neue"/>
        <family val="2"/>
      </rPr>
      <t>Best-Case</t>
    </r>
  </si>
  <si>
    <r>
      <rPr>
        <sz val="14"/>
        <color indexed="8"/>
        <rFont val="Helvetica Neue"/>
        <family val="2"/>
      </rPr>
      <t>Investitionsauszahlung komplett</t>
    </r>
  </si>
  <si>
    <r>
      <rPr>
        <sz val="14"/>
        <color indexed="8"/>
        <rFont val="Helvetica Neue"/>
        <family val="2"/>
      </rPr>
      <t>Jährliche Energieeinsparung oder Energieversorgung</t>
    </r>
  </si>
  <si>
    <r>
      <rPr>
        <sz val="14"/>
        <color indexed="8"/>
        <rFont val="Helvetica Neue"/>
        <family val="2"/>
      </rPr>
      <t>Jährliche Energiepreisschwankungen</t>
    </r>
  </si>
  <si>
    <r>
      <rPr>
        <sz val="14"/>
        <color indexed="8"/>
        <rFont val="Helvetica Neue"/>
        <family val="2"/>
      </rPr>
      <t>Jährliche Preisschwankungsrate für relevante Dienstleistungen und Materialien</t>
    </r>
  </si>
  <si>
    <r>
      <rPr>
        <sz val="14"/>
        <color indexed="8"/>
        <rFont val="Helvetica Neue"/>
        <family val="2"/>
      </rPr>
      <t>Laufzeit der Investition T [Jahre]</t>
    </r>
  </si>
  <si>
    <r>
      <rPr>
        <sz val="14"/>
        <color indexed="8"/>
        <rFont val="Helvetica Neue"/>
        <family val="2"/>
      </rPr>
      <t xml:space="preserve">Kalkulationszinssatz r </t>
    </r>
  </si>
  <si>
    <t>Kapitalwert</t>
  </si>
  <si>
    <t>Tab. 4a: Kapitalwertberechnung – Wahrscheinlicher Fall</t>
  </si>
  <si>
    <r>
      <rPr>
        <sz val="14"/>
        <color indexed="8"/>
        <rFont val="Helvetica Neue"/>
        <family val="2"/>
      </rPr>
      <t>Periode t</t>
    </r>
  </si>
  <si>
    <r>
      <rPr>
        <sz val="14"/>
        <color indexed="8"/>
        <rFont val="Helvetica Neue"/>
        <family val="2"/>
      </rPr>
      <t>Kalkulationszinssatz r</t>
    </r>
  </si>
  <si>
    <r>
      <rPr>
        <sz val="14"/>
        <color indexed="8"/>
        <rFont val="Helvetica Neue"/>
        <family val="2"/>
      </rPr>
      <t>Jährliche Energiepreisschwankungen epr</t>
    </r>
  </si>
  <si>
    <r>
      <rPr>
        <sz val="14"/>
        <color indexed="8"/>
        <rFont val="Helvetica Neue"/>
        <family val="2"/>
      </rPr>
      <t>Jährliche Preisschwankung, keine Energie pr</t>
    </r>
  </si>
  <si>
    <r>
      <rPr>
        <sz val="14"/>
        <color indexed="8"/>
        <rFont val="Helvetica Neue"/>
        <family val="2"/>
      </rPr>
      <t>Aktueller spezifischer Netto-Energiepreis</t>
    </r>
  </si>
  <si>
    <r>
      <rPr>
        <sz val="14"/>
        <color indexed="8"/>
        <rFont val="Helvetica Neue"/>
        <family val="2"/>
      </rPr>
      <t>Zu berücksichtigende Perioden</t>
    </r>
  </si>
  <si>
    <t>Berücksichtigte Periode</t>
  </si>
  <si>
    <r>
      <rPr>
        <b/>
        <sz val="14"/>
        <color indexed="8"/>
        <rFont val="Helvetica Neue"/>
        <family val="2"/>
      </rPr>
      <t>Auszahlungen</t>
    </r>
  </si>
  <si>
    <t>Basiswerte</t>
  </si>
  <si>
    <t>Planungskosten</t>
  </si>
  <si>
    <r>
      <rPr>
        <b/>
        <sz val="14"/>
        <color indexed="8"/>
        <rFont val="Helvetica Neue"/>
        <family val="2"/>
      </rPr>
      <t>Einzahlungen</t>
    </r>
  </si>
  <si>
    <t>Energieeinsparungen jährlich</t>
  </si>
  <si>
    <t>Geringere Wartung</t>
  </si>
  <si>
    <r>
      <rPr>
        <sz val="14"/>
        <color indexed="8"/>
        <rFont val="Helvetica Neue"/>
        <family val="2"/>
      </rPr>
      <t>Gesamt</t>
    </r>
  </si>
  <si>
    <r>
      <rPr>
        <sz val="14"/>
        <color indexed="8"/>
        <rFont val="Helvetica Neue"/>
        <family val="2"/>
      </rPr>
      <t>Barwerte (PV)</t>
    </r>
  </si>
  <si>
    <t>Kapitalwert in Abhängigkeit von berücksichtigten Periodenzahl</t>
  </si>
  <si>
    <r>
      <rPr>
        <b/>
        <sz val="14"/>
        <color indexed="8"/>
        <rFont val="Helvetica Neue"/>
        <family val="2"/>
      </rPr>
      <t>Kapitalwert (NPV)</t>
    </r>
  </si>
  <si>
    <t>Tab. 4b: Worst Case</t>
  </si>
  <si>
    <r>
      <rPr>
        <sz val="14"/>
        <color indexed="8"/>
        <rFont val="Helvetica Neue"/>
        <family val="2"/>
      </rPr>
      <t>Auszahlungen</t>
    </r>
  </si>
  <si>
    <r>
      <rPr>
        <sz val="14"/>
        <color indexed="8"/>
        <rFont val="Helvetica Neue"/>
        <family val="2"/>
      </rPr>
      <t>Einzahlungen</t>
    </r>
  </si>
  <si>
    <t>Tab. 4c: Best Case</t>
  </si>
  <si>
    <t>Bewertungsbericht nach DIN EN 17463; Nr. 1: „Austausch von Kühlpumpen in Gebäude 1“</t>
  </si>
  <si>
    <t>Name des Antragstellers:</t>
  </si>
  <si>
    <t>Datum:</t>
  </si>
  <si>
    <t>Edgar Schwan</t>
  </si>
  <si>
    <t>Kurze Beschreibung der energiebezogenen Investition</t>
  </si>
  <si>
    <t>5 Kühlpumpen in Gebäude 1 sollen durch effizientere ersetzt werden. Die bisherigen Pumpen stammen aus dem Jahr 1976 und weisen niedrige Nutzungsgrade auf.</t>
  </si>
  <si>
    <t>Vorschlag zur Entscheidung</t>
  </si>
  <si>
    <t>Die Investition sollte durchgeführt werden, da der positive Kapitalwert ein Beitrag zur Steigerung des Unternehmenswertes in Höhe von 239 603 € darstellt. Die zusätzlichen qualitativen Wirkungen unterstreichen diesen Vorschlag.
Alle Ergebnisse und Berechnungen sind in diesem Bewertungsbericht enthalten.</t>
  </si>
  <si>
    <t>Zusammenfassung der Ergebnisse</t>
  </si>
  <si>
    <t>Kapitalwert (wahrscheinlicher Fall):</t>
  </si>
  <si>
    <t>Interpretation Kapitalwert:</t>
  </si>
  <si>
    <r>
      <rPr>
        <sz val="9"/>
        <color indexed="8"/>
        <rFont val="Helvetica Neue"/>
        <family val="2"/>
      </rPr>
      <t xml:space="preserve">Der Kapitalwert für die angegebene </t>
    </r>
    <r>
      <rPr>
        <i/>
        <sz val="9"/>
        <color indexed="8"/>
        <rFont val="Helvetica Neue"/>
        <family val="2"/>
      </rPr>
      <t>ERI</t>
    </r>
    <r>
      <rPr>
        <sz val="9"/>
        <color indexed="8"/>
        <rFont val="Helvetica Neue"/>
        <family val="2"/>
      </rPr>
      <t xml:space="preserve"> beträgt 239 603 €. Über die zu Grunde gelegte Verzinsung von knapp 7 % hinaus wird ein Überschuss in Höhe von etwa 240 T€ generiert. Insofern ist die Anlage hochgradig wirtschaftlich.</t>
    </r>
  </si>
  <si>
    <t>Qualitative Beschreibung nicht monetisierbarer Wirkungen:</t>
  </si>
  <si>
    <r>
      <rPr>
        <sz val="9"/>
        <color indexed="8"/>
        <rFont val="Helvetica Neue"/>
        <family val="2"/>
      </rPr>
      <t xml:space="preserve">Neben dem positiven Kapitalwert hat die Investition positive qualitative Wirkungen: Die neuen Pumpen werden die </t>
    </r>
    <r>
      <rPr>
        <b/>
        <sz val="9"/>
        <color indexed="8"/>
        <rFont val="Helvetica Neue"/>
        <family val="2"/>
      </rPr>
      <t>Zuverlässigkeit der Produktion</t>
    </r>
    <r>
      <rPr>
        <sz val="9"/>
        <color indexed="8"/>
        <rFont val="Helvetica Neue"/>
        <family val="2"/>
      </rPr>
      <t xml:space="preserve"> erhöhen, da die Wahrscheinlichkeit eines Ausfalls der Pumpen durch die Investition verringert wird. Die neuen Pumpen werden außerdem </t>
    </r>
    <r>
      <rPr>
        <b/>
        <sz val="9"/>
        <color indexed="8"/>
        <rFont val="Helvetica Neue"/>
        <family val="2"/>
      </rPr>
      <t>den Geräuschpegel im Gebäude 1 von 85 dB auf 65 dB senken.</t>
    </r>
    <r>
      <rPr>
        <sz val="9"/>
        <color indexed="8"/>
        <rFont val="Helvetica Neue"/>
        <family val="2"/>
      </rPr>
      <t xml:space="preserve"> Zusätzlich führt die Energieeinsparung zu einer Verringerung </t>
    </r>
    <r>
      <rPr>
        <b/>
        <sz val="9"/>
        <color indexed="8"/>
        <rFont val="Helvetica Neue"/>
        <family val="2"/>
      </rPr>
      <t>des CO</t>
    </r>
    <r>
      <rPr>
        <b/>
        <vertAlign val="subscript"/>
        <sz val="9"/>
        <color indexed="8"/>
        <rFont val="Helvetica Neue"/>
        <family val="2"/>
      </rPr>
      <t>2</t>
    </r>
    <r>
      <rPr>
        <b/>
        <sz val="9"/>
        <color indexed="8"/>
        <rFont val="Helvetica Neue"/>
        <family val="2"/>
      </rPr>
      <t>‑Ausstoßes</t>
    </r>
    <r>
      <rPr>
        <sz val="9"/>
        <color indexed="8"/>
        <rFont val="Helvetica Neue"/>
        <family val="2"/>
      </rPr>
      <t xml:space="preserve"> um 20 % an dem betrachteten Prozess.</t>
    </r>
  </si>
  <si>
    <t>Szenarioanalyse</t>
  </si>
  <si>
    <t>Kapitalwert unter Wost-Case-Annahmen:</t>
  </si>
  <si>
    <t>Kapitalwert unter Best-Case-Annahmen:</t>
  </si>
  <si>
    <t>Interpretation der Ergebnisse der Szenarioanalyse:</t>
  </si>
  <si>
    <t>Die Szenarioanalyse zeigt, dass der Kapitalwert im unwahrscheinlichen, aber möglichen Worst-Case auf 5 609 € sinken würde, im Best-Case-Szenario betrüge er 546 500 €. Insofern liegt ein geringes Risiko vor.</t>
  </si>
  <si>
    <t>Interpretation der Ergebnisse der Sensitivitätsanalyse (Berechnungen dazu sind in dieser Vorlage nicht enthalten, in der Norm aber optionale vorgesehen)</t>
  </si>
  <si>
    <t>Die Sensitivitätsanalyse zeigt, dass das Ergebnis stark von der „jährlichen Energieeinsparung“ abhängig ist. Ein Rückgang der Einsparung um 1 % führt zu einer Verringerung des Kapitalwerts um 3.035 €. So wurde die technische Berechnung nochmals überprüft, und die zu erwartenden Energieeinsparungen erscheinen sinnvoll. Selbst wenn die Einsparungen um 50 % sinken würden (während alle anderen Parameter gleichblieben), betrüge der Kapitalwert dennoch 87.861 €.</t>
  </si>
  <si>
    <t>Einstellungen der Anpassungsparameter</t>
  </si>
  <si>
    <t>Laufzeit der Investition</t>
  </si>
  <si>
    <t>Erläuterungen zur Laufzeit:</t>
  </si>
  <si>
    <t>Die Projektlaufzeit wurde auf 15 Jahre festgelegt, da davon ausgegangen werden kann, dass die Pumpen so lange halten. Diese Annahme basiert auf Erfahrungswerten. In der Szenarioanalyse wird eine Lebensdauerspannbreite von zwischen 8 und 20 Jahren simuliert.</t>
  </si>
  <si>
    <t>Kalkulationszinssatz</t>
  </si>
  <si>
    <t>Erläuterungen zum Kalkulationszinssatzes:</t>
  </si>
  <si>
    <r>
      <rPr>
        <sz val="9"/>
        <color indexed="8"/>
        <rFont val="Helvetica Neue"/>
        <family val="2"/>
      </rPr>
      <t xml:space="preserve">Ein </t>
    </r>
    <r>
      <rPr>
        <i/>
        <sz val="9"/>
        <color indexed="8"/>
        <rFont val="Helvetica Neue"/>
        <family val="2"/>
      </rPr>
      <t>WACC</t>
    </r>
    <r>
      <rPr>
        <sz val="9"/>
        <color indexed="8"/>
        <rFont val="Helvetica Neue"/>
        <family val="2"/>
      </rPr>
      <t xml:space="preserve"> wurde berechnet und als Kalkulationszinssatz verwendet, da die Pumpen zum Teil durch Eigenkapital und zum anderen Teil auch durch einen Kredit finanziert werden. Unter Berücksichtigung eines Anteils von 80 % Eigenkapital (7,2 %) und eines Anteils von 20 % Fremdkapital (6 %) ergeben sich </t>
    </r>
    <r>
      <rPr>
        <i/>
        <sz val="9"/>
        <color indexed="8"/>
        <rFont val="Helvetica Neue"/>
        <family val="2"/>
      </rPr>
      <t>WACC</t>
    </r>
    <r>
      <rPr>
        <sz val="9"/>
        <color indexed="8"/>
        <rFont val="Helvetica Neue"/>
        <family val="2"/>
      </rPr>
      <t xml:space="preserve"> von 6,96 %. Der EK-Zins von 7,2 % orientiert sich am Return on Assets (RoA) des vorangegangenen Geschäftsjahres. Der FK-Zins ist jener, der von unserer Hausbank für einen entsprechenden Kredit gefordert wird.</t>
    </r>
  </si>
  <si>
    <t>Preisschwankungsraten …</t>
  </si>
  <si>
    <t>… für Energie:</t>
  </si>
  <si>
    <t>… für Nicht-Energie:</t>
  </si>
  <si>
    <t>Erläuterungen zu den Preisschwankungsraten:</t>
  </si>
  <si>
    <t>Die Preisschwankungsraten lagen bei 3 % für Energie und 2 % für nichtenergetische Cashflows. Diese Angaben stammen aus veröffentlichten Daten von Verivox bzw. des statistischen Bundesamtes.</t>
  </si>
  <si>
    <t>Degradation</t>
  </si>
  <si>
    <t>Erläuterungen zur Degradation:</t>
  </si>
  <si>
    <t>Die Degradation für die Pumpen wurde auf 0 % festgelegt, da der Leistungsabfall aufgrund der regelmäßigen Wartung sehr gering sein sollte.</t>
  </si>
  <si>
    <t>Anhänge</t>
  </si>
  <si>
    <t>Tabelle 1 bis 4</t>
  </si>
  <si>
    <t>Anschaffungskosten der PV-Module</t>
  </si>
  <si>
    <t>€/Stk.</t>
  </si>
  <si>
    <t>irrel.</t>
  </si>
  <si>
    <t>Wechselrichter</t>
  </si>
  <si>
    <t>Planung, Montage etc.</t>
  </si>
  <si>
    <t>Pauschale</t>
  </si>
  <si>
    <t>€</t>
  </si>
  <si>
    <t>Betriebkosten</t>
  </si>
  <si>
    <t>Stromeinsparungen</t>
  </si>
  <si>
    <t>€/kWh</t>
  </si>
  <si>
    <t>Strom zur Einspeisung</t>
  </si>
  <si>
    <t>Beitrag zum Klimaschutz</t>
  </si>
  <si>
    <t>Positive öffentliche Wirkung</t>
  </si>
  <si>
    <t>Invest € pro kWp</t>
  </si>
  <si>
    <r>
      <rPr>
        <sz val="14"/>
        <color indexed="8"/>
        <rFont val="Helvetica Neue"/>
        <family val="2"/>
      </rPr>
      <t>Jahresbetriebskosten</t>
    </r>
  </si>
  <si>
    <t>Eigenverbrauchsquote</t>
  </si>
  <si>
    <r>
      <rPr>
        <sz val="14"/>
        <color indexed="8"/>
        <rFont val="Helvetica Neue"/>
        <family val="2"/>
      </rPr>
      <t xml:space="preserve">Jährliche Energieeinsparung </t>
    </r>
  </si>
  <si>
    <r>
      <rPr>
        <sz val="14"/>
        <color indexed="8"/>
        <rFont val="Helvetica Neue"/>
        <family val="2"/>
      </rPr>
      <t xml:space="preserve">Jährliche Energieeinspeisung </t>
    </r>
  </si>
  <si>
    <r>
      <rPr>
        <sz val="14"/>
        <color indexed="8"/>
        <rFont val="Helvetica Neue"/>
        <family val="2"/>
      </rPr>
      <t>Jährliche Energiepreisschwankungen</t>
    </r>
  </si>
  <si>
    <t>Einspeisevergütung</t>
  </si>
  <si>
    <r>
      <rPr>
        <sz val="14"/>
        <color indexed="8"/>
        <rFont val="Helvetica Neue"/>
        <family val="2"/>
      </rPr>
      <t>Kapitalwert (NPV)</t>
    </r>
  </si>
  <si>
    <t>Basiskalkulationszinsfuß i</t>
  </si>
  <si>
    <t>Preissteigerungsrate Energie</t>
  </si>
  <si>
    <t>Spez. Stromkosten</t>
  </si>
  <si>
    <t>Techn. Einsparpotential</t>
  </si>
  <si>
    <t>Investausgabe</t>
  </si>
  <si>
    <t>Nutzungsdauer [Jahre]</t>
  </si>
  <si>
    <t>Prozentualer Anteil an der Nutzungsdauer [%]</t>
  </si>
  <si>
    <t>Anteil der vorges. Nutzungsdauer [Jahre]</t>
  </si>
  <si>
    <t>Periode t</t>
  </si>
  <si>
    <t>Spezifischer Energiepreis</t>
  </si>
  <si>
    <t>Auszahlungen</t>
  </si>
  <si>
    <t>Investitionsauszahlung</t>
  </si>
  <si>
    <t>Einzahlungen</t>
  </si>
  <si>
    <t xml:space="preserve">Energiekosteneinsparungen </t>
  </si>
  <si>
    <t>Resultate/Indikatoren</t>
  </si>
  <si>
    <t>Summe</t>
  </si>
  <si>
    <t>Barwerte</t>
  </si>
  <si>
    <t>kumulierte Barwerte: KW = f(T)</t>
  </si>
  <si>
    <r>
      <rPr>
        <b/>
        <sz val="11"/>
        <color indexed="9"/>
        <rFont val="Helvetica Neue"/>
        <family val="2"/>
      </rPr>
      <t>Kapitalwert</t>
    </r>
    <r>
      <rPr>
        <b/>
        <vertAlign val="subscript"/>
        <sz val="11"/>
        <color indexed="9"/>
        <rFont val="Helvetica Neue"/>
        <family val="2"/>
      </rPr>
      <t xml:space="preserve"> </t>
    </r>
    <r>
      <rPr>
        <b/>
        <sz val="11"/>
        <color indexed="9"/>
        <rFont val="Helvetica Neue"/>
        <family val="2"/>
      </rPr>
      <t>= f(t)</t>
    </r>
  </si>
  <si>
    <t>Amortisationszeit (Payback Period) [Jahre]</t>
  </si>
  <si>
    <t>Interner Zinsfuß (IRR)</t>
  </si>
  <si>
    <t>Version 1.0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</si>
</sst>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2]&quot; &quot;#,##0"/>
    <numFmt numFmtId="165" formatCode="#,##0.0#"/>
    <numFmt numFmtId="166" formatCode="0.0%"/>
    <numFmt numFmtId="167" formatCode="#,###&quot; kWh&quot;"/>
    <numFmt numFmtId="168" formatCode="#,###&quot; €&quot;"/>
    <numFmt numFmtId="169" formatCode="#,###.###&quot; €/kWh&quot;"/>
    <numFmt numFmtId="170" formatCode="[$€-2]\ #,##0"/>
    <numFmt numFmtId="171" formatCode="[$€-2]&quot; &quot;#,##0.00"/>
    <numFmt numFmtId="172" formatCode="#,##0.0"/>
    <numFmt numFmtId="173" formatCode="d\.m\.yyyy"/>
    <numFmt numFmtId="174" formatCode="#,###&quot; Jahre&quot;"/>
    <numFmt numFmtId="175" formatCode="#,##0%"/>
    <numFmt numFmtId="176" formatCode="#,###.##&quot; €/kWh&quot;"/>
    <numFmt numFmtId="177" formatCode="0.0"/>
  </numFmts>
  <fonts count="30" x14ac:knownFonts="1">
    <font>
      <sz val="10"/>
      <color indexed="8"/>
      <name val="Helvetica Neue"/>
    </font>
    <font>
      <sz val="12"/>
      <color indexed="8"/>
      <name val="Helvetica Neue"/>
      <family val="2"/>
    </font>
    <font>
      <sz val="14"/>
      <color indexed="8"/>
      <name val="Helvetica Neue"/>
      <family val="2"/>
    </font>
    <font>
      <b/>
      <sz val="14"/>
      <color indexed="8"/>
      <name val="Helvetica Neue"/>
      <family val="2"/>
    </font>
    <font>
      <b/>
      <sz val="11"/>
      <color indexed="12"/>
      <name val="Helvetica Neue"/>
      <family val="2"/>
    </font>
    <font>
      <b/>
      <sz val="11"/>
      <color indexed="11"/>
      <name val="Helvetica Neue"/>
      <family val="2"/>
    </font>
    <font>
      <sz val="14"/>
      <color indexed="12"/>
      <name val="Helvetica Neue"/>
      <family val="2"/>
    </font>
    <font>
      <vertAlign val="subscript"/>
      <sz val="14"/>
      <color indexed="8"/>
      <name val="Helvetica Neue"/>
      <family val="2"/>
    </font>
    <font>
      <sz val="14"/>
      <color indexed="8"/>
      <name val="Helvetica Neue"/>
      <family val="2"/>
    </font>
    <font>
      <b/>
      <sz val="11"/>
      <color indexed="20"/>
      <name val="Helvetica Neue"/>
      <family val="2"/>
    </font>
    <font>
      <b/>
      <sz val="14"/>
      <color indexed="20"/>
      <name val="Helvetica Neue"/>
      <family val="2"/>
    </font>
    <font>
      <sz val="13"/>
      <color indexed="8"/>
      <name val="Helvetica Neue"/>
      <family val="2"/>
    </font>
    <font>
      <b/>
      <sz val="14"/>
      <color indexed="12"/>
      <name val="Helvetica Neue"/>
      <family val="2"/>
    </font>
    <font>
      <b/>
      <sz val="10"/>
      <color indexed="8"/>
      <name val="Helvetica Neue"/>
      <family val="2"/>
    </font>
    <font>
      <sz val="9"/>
      <color indexed="8"/>
      <name val="Helvetica Neue"/>
      <family val="2"/>
    </font>
    <font>
      <b/>
      <sz val="10"/>
      <color indexed="9"/>
      <name val="Helvetica Neue"/>
      <family val="2"/>
    </font>
    <font>
      <sz val="10"/>
      <color indexed="9"/>
      <name val="Helvetica Neue"/>
      <family val="2"/>
    </font>
    <font>
      <b/>
      <sz val="9"/>
      <color indexed="8"/>
      <name val="Helvetica Neue"/>
      <family val="2"/>
    </font>
    <font>
      <i/>
      <sz val="9"/>
      <color indexed="8"/>
      <name val="Helvetica Neue"/>
      <family val="2"/>
    </font>
    <font>
      <b/>
      <vertAlign val="subscript"/>
      <sz val="9"/>
      <color indexed="8"/>
      <name val="Helvetica Neue"/>
      <family val="2"/>
    </font>
    <font>
      <sz val="11"/>
      <color indexed="12"/>
      <name val="Helvetica Neue"/>
      <family val="2"/>
    </font>
    <font>
      <sz val="20"/>
      <color indexed="9"/>
      <name val="Helvetica Neue"/>
      <family val="2"/>
    </font>
    <font>
      <sz val="19"/>
      <color indexed="37"/>
      <name val="Helvetica Neue"/>
      <family val="2"/>
    </font>
    <font>
      <sz val="20"/>
      <color indexed="8"/>
      <name val="Helvetica Neue"/>
      <family val="2"/>
    </font>
    <font>
      <sz val="20"/>
      <color indexed="12"/>
      <name val="Helvetica Neue"/>
      <family val="2"/>
    </font>
    <font>
      <b/>
      <sz val="20"/>
      <color indexed="42"/>
      <name val="Helvetica Neue"/>
      <family val="2"/>
    </font>
    <font>
      <b/>
      <sz val="11"/>
      <color indexed="9"/>
      <name val="Helvetica Neue"/>
      <family val="2"/>
    </font>
    <font>
      <b/>
      <vertAlign val="subscript"/>
      <sz val="11"/>
      <color indexed="9"/>
      <name val="Helvetica Neue"/>
      <family val="2"/>
    </font>
    <font>
      <b/>
      <sz val="11"/>
      <color indexed="43"/>
      <name val="Helvetica Neue"/>
      <family val="2"/>
    </font>
    <font>
      <sz val="11"/>
      <color indexed="44"/>
      <name val="Helvetica Neue"/>
      <family val="2"/>
    </font>
  </fonts>
  <fills count="2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1"/>
        <bgColor auto="1"/>
      </patternFill>
    </fill>
    <fill>
      <patternFill patternType="solid">
        <fgColor indexed="24"/>
        <bgColor auto="1"/>
      </patternFill>
    </fill>
    <fill>
      <patternFill patternType="solid">
        <fgColor indexed="28"/>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s>
  <borders count="126">
    <border>
      <left/>
      <right/>
      <top/>
      <bottom/>
      <diagonal/>
    </border>
    <border>
      <left style="thin">
        <color indexed="10"/>
      </left>
      <right/>
      <top style="thin">
        <color indexed="10"/>
      </top>
      <bottom/>
      <diagonal/>
    </border>
    <border>
      <left/>
      <right/>
      <top style="thin">
        <color indexed="10"/>
      </top>
      <bottom style="medium">
        <color indexed="8"/>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style="medium">
        <color indexed="8"/>
      </top>
      <bottom/>
      <diagonal/>
    </border>
    <border>
      <left/>
      <right/>
      <top/>
      <bottom/>
      <diagonal/>
    </border>
    <border>
      <left/>
      <right style="thin">
        <color indexed="10"/>
      </right>
      <top/>
      <bottom/>
      <diagonal/>
    </border>
    <border>
      <left/>
      <right/>
      <top/>
      <bottom style="thick">
        <color indexed="8"/>
      </bottom>
      <diagonal/>
    </border>
    <border>
      <left style="thin">
        <color indexed="10"/>
      </left>
      <right style="thick">
        <color indexed="8"/>
      </right>
      <top/>
      <bottom/>
      <diagonal/>
    </border>
    <border>
      <left style="thick">
        <color indexed="8"/>
      </left>
      <right style="hair">
        <color indexed="8"/>
      </right>
      <top style="thick">
        <color indexed="8"/>
      </top>
      <bottom style="thick">
        <color indexed="8"/>
      </bottom>
      <diagonal/>
    </border>
    <border>
      <left style="hair">
        <color indexed="8"/>
      </left>
      <right style="hair">
        <color indexed="8"/>
      </right>
      <top style="thick">
        <color indexed="8"/>
      </top>
      <bottom style="thick">
        <color indexed="8"/>
      </bottom>
      <diagonal/>
    </border>
    <border>
      <left style="hair">
        <color indexed="8"/>
      </left>
      <right style="thick">
        <color indexed="8"/>
      </right>
      <top style="thick">
        <color indexed="8"/>
      </top>
      <bottom style="thick">
        <color indexed="8"/>
      </bottom>
      <diagonal/>
    </border>
    <border>
      <left style="thick">
        <color indexed="8"/>
      </left>
      <right/>
      <top/>
      <bottom/>
      <diagonal/>
    </border>
    <border>
      <left style="thick">
        <color indexed="8"/>
      </left>
      <right style="hair">
        <color indexed="8"/>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style="thick">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ck">
        <color indexed="8"/>
      </right>
      <top style="hair">
        <color indexed="8"/>
      </top>
      <bottom style="hair">
        <color indexed="8"/>
      </bottom>
      <diagonal/>
    </border>
    <border>
      <left style="thick">
        <color indexed="8"/>
      </left>
      <right style="hair">
        <color indexed="8"/>
      </right>
      <top style="hair">
        <color indexed="8"/>
      </top>
      <bottom style="thick">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thick">
        <color indexed="8"/>
      </bottom>
      <diagonal/>
    </border>
    <border>
      <left/>
      <right/>
      <top style="thick">
        <color indexed="8"/>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dotted">
        <color indexed="18"/>
      </right>
      <top style="medium">
        <color indexed="8"/>
      </top>
      <bottom style="medium">
        <color indexed="8"/>
      </bottom>
      <diagonal/>
    </border>
    <border>
      <left style="dotted">
        <color indexed="18"/>
      </left>
      <right style="dotted">
        <color indexed="18"/>
      </right>
      <top style="medium">
        <color indexed="8"/>
      </top>
      <bottom style="medium">
        <color indexed="8"/>
      </bottom>
      <diagonal/>
    </border>
    <border>
      <left style="dotted">
        <color indexed="1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dotted">
        <color indexed="19"/>
      </bottom>
      <diagonal/>
    </border>
    <border>
      <left style="medium">
        <color indexed="8"/>
      </left>
      <right style="dotted">
        <color indexed="18"/>
      </right>
      <top style="medium">
        <color indexed="8"/>
      </top>
      <bottom style="dotted">
        <color indexed="18"/>
      </bottom>
      <diagonal/>
    </border>
    <border>
      <left style="dotted">
        <color indexed="18"/>
      </left>
      <right style="dotted">
        <color indexed="18"/>
      </right>
      <top style="medium">
        <color indexed="8"/>
      </top>
      <bottom style="dotted">
        <color indexed="18"/>
      </bottom>
      <diagonal/>
    </border>
    <border>
      <left style="dotted">
        <color indexed="18"/>
      </left>
      <right style="medium">
        <color indexed="8"/>
      </right>
      <top style="medium">
        <color indexed="8"/>
      </top>
      <bottom style="dotted">
        <color indexed="18"/>
      </bottom>
      <diagonal/>
    </border>
    <border>
      <left style="medium">
        <color indexed="8"/>
      </left>
      <right style="medium">
        <color indexed="8"/>
      </right>
      <top style="dotted">
        <color indexed="19"/>
      </top>
      <bottom style="dotted">
        <color indexed="19"/>
      </bottom>
      <diagonal/>
    </border>
    <border>
      <left style="medium">
        <color indexed="8"/>
      </left>
      <right style="dotted">
        <color indexed="18"/>
      </right>
      <top style="dotted">
        <color indexed="18"/>
      </top>
      <bottom style="dotted">
        <color indexed="18"/>
      </bottom>
      <diagonal/>
    </border>
    <border>
      <left style="dotted">
        <color indexed="18"/>
      </left>
      <right style="dotted">
        <color indexed="18"/>
      </right>
      <top style="dotted">
        <color indexed="18"/>
      </top>
      <bottom style="dotted">
        <color indexed="18"/>
      </bottom>
      <diagonal/>
    </border>
    <border>
      <left style="dotted">
        <color indexed="18"/>
      </left>
      <right style="medium">
        <color indexed="8"/>
      </right>
      <top style="dotted">
        <color indexed="18"/>
      </top>
      <bottom style="dotted">
        <color indexed="18"/>
      </bottom>
      <diagonal/>
    </border>
    <border>
      <left style="medium">
        <color indexed="8"/>
      </left>
      <right style="medium">
        <color indexed="8"/>
      </right>
      <top style="dotted">
        <color indexed="19"/>
      </top>
      <bottom style="dotted">
        <color indexed="18"/>
      </bottom>
      <diagonal/>
    </border>
    <border>
      <left style="medium">
        <color indexed="8"/>
      </left>
      <right style="medium">
        <color indexed="8"/>
      </right>
      <top style="dotted">
        <color indexed="18"/>
      </top>
      <bottom style="dotted">
        <color indexed="18"/>
      </bottom>
      <diagonal/>
    </border>
    <border>
      <left style="medium">
        <color indexed="8"/>
      </left>
      <right style="medium">
        <color indexed="8"/>
      </right>
      <top style="dotted">
        <color indexed="18"/>
      </top>
      <bottom style="medium">
        <color indexed="8"/>
      </bottom>
      <diagonal/>
    </border>
    <border>
      <left style="medium">
        <color indexed="8"/>
      </left>
      <right style="dotted">
        <color indexed="18"/>
      </right>
      <top style="dotted">
        <color indexed="18"/>
      </top>
      <bottom style="medium">
        <color indexed="8"/>
      </bottom>
      <diagonal/>
    </border>
    <border>
      <left style="dotted">
        <color indexed="18"/>
      </left>
      <right style="dotted">
        <color indexed="18"/>
      </right>
      <top style="dotted">
        <color indexed="18"/>
      </top>
      <bottom style="medium">
        <color indexed="8"/>
      </bottom>
      <diagonal/>
    </border>
    <border>
      <left style="dotted">
        <color indexed="18"/>
      </left>
      <right style="medium">
        <color indexed="8"/>
      </right>
      <top style="dotted">
        <color indexed="18"/>
      </top>
      <bottom style="medium">
        <color indexed="8"/>
      </bottom>
      <diagonal/>
    </border>
    <border>
      <left/>
      <right style="thin">
        <color indexed="10"/>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22"/>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22"/>
      </top>
      <bottom style="medium">
        <color indexed="22"/>
      </bottom>
      <diagonal/>
    </border>
    <border>
      <left style="thin">
        <color indexed="8"/>
      </left>
      <right style="thin">
        <color indexed="8"/>
      </right>
      <top/>
      <bottom/>
      <diagonal/>
    </border>
    <border>
      <left style="thin">
        <color indexed="8"/>
      </left>
      <right/>
      <top/>
      <bottom/>
      <diagonal/>
    </border>
    <border>
      <left/>
      <right style="medium">
        <color indexed="8"/>
      </right>
      <top/>
      <bottom/>
      <diagonal/>
    </border>
    <border>
      <left style="medium">
        <color indexed="8"/>
      </left>
      <right style="thin">
        <color indexed="8"/>
      </right>
      <top style="medium">
        <color indexed="22"/>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thin">
        <color indexed="8"/>
      </left>
      <right style="dotted">
        <color indexed="23"/>
      </right>
      <top style="medium">
        <color indexed="8"/>
      </top>
      <bottom style="dotted">
        <color indexed="23"/>
      </bottom>
      <diagonal/>
    </border>
    <border>
      <left style="dotted">
        <color indexed="23"/>
      </left>
      <right style="dotted">
        <color indexed="23"/>
      </right>
      <top style="medium">
        <color indexed="8"/>
      </top>
      <bottom style="dotted">
        <color indexed="23"/>
      </bottom>
      <diagonal/>
    </border>
    <border>
      <left style="dotted">
        <color indexed="23"/>
      </left>
      <right style="medium">
        <color indexed="8"/>
      </right>
      <top style="medium">
        <color indexed="8"/>
      </top>
      <bottom style="dotted">
        <color indexed="23"/>
      </bottom>
      <diagonal/>
    </border>
    <border>
      <left style="thin">
        <color indexed="8"/>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style="medium">
        <color indexed="8"/>
      </right>
      <top style="dotted">
        <color indexed="23"/>
      </top>
      <bottom style="dotted">
        <color indexed="23"/>
      </bottom>
      <diagonal/>
    </border>
    <border>
      <left style="medium">
        <color indexed="8"/>
      </left>
      <right style="thin">
        <color indexed="19"/>
      </right>
      <top style="medium">
        <color indexed="22"/>
      </top>
      <bottom style="medium">
        <color indexed="22"/>
      </bottom>
      <diagonal/>
    </border>
    <border>
      <left style="thin">
        <color indexed="19"/>
      </left>
      <right style="thin">
        <color indexed="8"/>
      </right>
      <top/>
      <bottom/>
      <diagonal/>
    </border>
    <border>
      <left style="medium">
        <color indexed="8"/>
      </left>
      <right style="thin">
        <color indexed="19"/>
      </right>
      <top style="medium">
        <color indexed="22"/>
      </top>
      <bottom style="medium">
        <color indexed="8"/>
      </bottom>
      <diagonal/>
    </border>
    <border>
      <left style="thin">
        <color indexed="19"/>
      </left>
      <right style="thin">
        <color indexed="8"/>
      </right>
      <top/>
      <bottom style="medium">
        <color indexed="8"/>
      </bottom>
      <diagonal/>
    </border>
    <border>
      <left style="thin">
        <color indexed="8"/>
      </left>
      <right style="dotted">
        <color indexed="23"/>
      </right>
      <top style="dotted">
        <color indexed="23"/>
      </top>
      <bottom style="medium">
        <color indexed="8"/>
      </bottom>
      <diagonal/>
    </border>
    <border>
      <left style="dotted">
        <color indexed="23"/>
      </left>
      <right style="dotted">
        <color indexed="23"/>
      </right>
      <top style="dotted">
        <color indexed="23"/>
      </top>
      <bottom style="medium">
        <color indexed="8"/>
      </bottom>
      <diagonal/>
    </border>
    <border>
      <left style="dotted">
        <color indexed="23"/>
      </left>
      <right style="medium">
        <color indexed="8"/>
      </right>
      <top style="dotted">
        <color indexed="23"/>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right style="thin">
        <color indexed="10"/>
      </right>
      <top style="medium">
        <color indexed="8"/>
      </top>
      <bottom/>
      <diagonal/>
    </border>
    <border>
      <left style="thin">
        <color indexed="10"/>
      </left>
      <right style="medium">
        <color indexed="8"/>
      </right>
      <top/>
      <bottom style="thin">
        <color indexed="10"/>
      </bottom>
      <diagonal/>
    </border>
    <border>
      <left style="thick">
        <color indexed="31"/>
      </left>
      <right/>
      <top style="thick">
        <color indexed="31"/>
      </top>
      <bottom style="thin">
        <color indexed="8"/>
      </bottom>
      <diagonal/>
    </border>
    <border>
      <left/>
      <right/>
      <top style="thick">
        <color indexed="31"/>
      </top>
      <bottom style="thin">
        <color indexed="8"/>
      </bottom>
      <diagonal/>
    </border>
    <border>
      <left/>
      <right/>
      <top style="thick">
        <color indexed="31"/>
      </top>
      <bottom/>
      <diagonal/>
    </border>
    <border>
      <left/>
      <right style="thick">
        <color indexed="31"/>
      </right>
      <top style="thick">
        <color indexed="31"/>
      </top>
      <bottom/>
      <diagonal/>
    </border>
    <border>
      <left style="thick">
        <color indexed="3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bottom/>
      <diagonal/>
    </border>
    <border>
      <left/>
      <right style="thick">
        <color indexed="31"/>
      </right>
      <top/>
      <bottom/>
      <diagonal/>
    </border>
    <border>
      <left style="thick">
        <color indexed="31"/>
      </left>
      <right/>
      <top style="thin">
        <color indexed="8"/>
      </top>
      <bottom/>
      <diagonal/>
    </border>
    <border>
      <left/>
      <right/>
      <top style="thin">
        <color indexed="8"/>
      </top>
      <bottom/>
      <diagonal/>
    </border>
    <border>
      <left style="thick">
        <color indexed="31"/>
      </left>
      <right/>
      <top/>
      <bottom/>
      <diagonal/>
    </border>
    <border>
      <left style="thick">
        <color indexed="31"/>
      </left>
      <right/>
      <top/>
      <bottom style="thick">
        <color indexed="31"/>
      </bottom>
      <diagonal/>
    </border>
    <border>
      <left/>
      <right/>
      <top/>
      <bottom style="thick">
        <color indexed="31"/>
      </bottom>
      <diagonal/>
    </border>
    <border>
      <left/>
      <right style="thick">
        <color indexed="31"/>
      </right>
      <top/>
      <bottom style="thick">
        <color indexed="31"/>
      </bottom>
      <diagonal/>
    </border>
    <border>
      <left style="medium">
        <color indexed="8"/>
      </left>
      <right style="medium">
        <color indexed="8"/>
      </right>
      <top style="medium">
        <color indexed="8"/>
      </top>
      <bottom style="dotted">
        <color indexed="18"/>
      </bottom>
      <diagonal/>
    </border>
    <border>
      <left style="medium">
        <color indexed="8"/>
      </left>
      <right style="thin">
        <color indexed="18"/>
      </right>
      <top style="medium">
        <color indexed="22"/>
      </top>
      <bottom style="medium">
        <color indexed="22"/>
      </bottom>
      <diagonal/>
    </border>
    <border>
      <left style="thin">
        <color indexed="18"/>
      </left>
      <right style="thin">
        <color indexed="8"/>
      </right>
      <top/>
      <bottom/>
      <diagonal/>
    </border>
    <border>
      <left/>
      <right/>
      <top style="medium">
        <color indexed="23"/>
      </top>
      <bottom/>
      <diagonal/>
    </border>
    <border>
      <left/>
      <right/>
      <top style="medium">
        <color indexed="23"/>
      </top>
      <bottom style="thin">
        <color indexed="9"/>
      </bottom>
      <diagonal/>
    </border>
    <border>
      <left/>
      <right/>
      <top style="thin">
        <color indexed="9"/>
      </top>
      <bottom/>
      <diagonal/>
    </border>
    <border>
      <left/>
      <right/>
      <top style="thin">
        <color indexed="9"/>
      </top>
      <bottom style="thin">
        <color indexed="9"/>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22"/>
      </bottom>
      <diagonal/>
    </border>
    <border>
      <left/>
      <right style="thin">
        <color indexed="9"/>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top style="thin">
        <color indexed="9"/>
      </top>
      <bottom style="thin">
        <color indexed="22"/>
      </bottom>
      <diagonal/>
    </border>
    <border>
      <left/>
      <right/>
      <top style="thin">
        <color indexed="22"/>
      </top>
      <bottom style="thin">
        <color indexed="9"/>
      </bottom>
      <diagonal/>
    </border>
    <border>
      <left/>
      <right style="thin">
        <color indexed="9"/>
      </right>
      <top/>
      <bottom/>
      <diagonal/>
    </border>
    <border>
      <left/>
      <right style="thin">
        <color indexed="22"/>
      </right>
      <top style="thin">
        <color indexed="9"/>
      </top>
      <bottom style="thin">
        <color indexed="22"/>
      </bottom>
      <diagonal/>
    </border>
    <border>
      <left style="thin">
        <color indexed="22"/>
      </left>
      <right style="thin">
        <color indexed="22"/>
      </right>
      <top style="thin">
        <color indexed="9"/>
      </top>
      <bottom style="thin">
        <color indexed="22"/>
      </bottom>
      <diagonal/>
    </border>
    <border>
      <left style="thin">
        <color indexed="22"/>
      </left>
      <right/>
      <top style="thin">
        <color indexed="9"/>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medium">
        <color indexed="23"/>
      </bottom>
      <diagonal/>
    </border>
    <border>
      <left/>
      <right style="thin">
        <color indexed="22"/>
      </right>
      <top style="thin">
        <color indexed="22"/>
      </top>
      <bottom style="medium">
        <color indexed="23"/>
      </bottom>
      <diagonal/>
    </border>
    <border>
      <left style="thin">
        <color indexed="22"/>
      </left>
      <right style="thin">
        <color indexed="22"/>
      </right>
      <top style="thin">
        <color indexed="22"/>
      </top>
      <bottom style="medium">
        <color indexed="23"/>
      </bottom>
      <diagonal/>
    </border>
    <border>
      <left style="thin">
        <color indexed="22"/>
      </left>
      <right/>
      <top style="thin">
        <color indexed="22"/>
      </top>
      <bottom style="medium">
        <color indexed="23"/>
      </bottom>
      <diagonal/>
    </border>
    <border>
      <left style="medium">
        <color indexed="23"/>
      </left>
      <right style="thin">
        <color indexed="22"/>
      </right>
      <top style="medium">
        <color indexed="23"/>
      </top>
      <bottom style="medium">
        <color indexed="23"/>
      </bottom>
      <diagonal/>
    </border>
    <border>
      <left style="thin">
        <color indexed="22"/>
      </left>
      <right style="thin">
        <color indexed="22"/>
      </right>
      <top style="medium">
        <color indexed="23"/>
      </top>
      <bottom style="medium">
        <color indexed="23"/>
      </bottom>
      <diagonal/>
    </border>
    <border>
      <left style="thin">
        <color indexed="22"/>
      </left>
      <right style="medium">
        <color indexed="23"/>
      </right>
      <top style="medium">
        <color indexed="23"/>
      </top>
      <bottom style="medium">
        <color indexed="23"/>
      </bottom>
      <diagonal/>
    </border>
  </borders>
  <cellStyleXfs count="1">
    <xf numFmtId="0" fontId="0" fillId="0" borderId="0" applyNumberFormat="0" applyFill="0" applyBorder="0" applyProtection="0">
      <alignment vertical="top" wrapText="1"/>
    </xf>
  </cellStyleXfs>
  <cellXfs count="358">
    <xf numFmtId="0" fontId="0" fillId="0" borderId="0" xfId="0">
      <alignment vertical="top" wrapText="1"/>
    </xf>
    <xf numFmtId="0" fontId="0" fillId="0" borderId="0" xfId="0" applyNumberFormat="1">
      <alignment vertical="top" wrapText="1"/>
    </xf>
    <xf numFmtId="0" fontId="0" fillId="2" borderId="1" xfId="0" applyFill="1" applyBorder="1">
      <alignment vertical="top" wrapText="1"/>
    </xf>
    <xf numFmtId="0" fontId="0" fillId="2" borderId="2" xfId="0" applyFill="1" applyBorder="1">
      <alignment vertical="top" wrapText="1"/>
    </xf>
    <xf numFmtId="0" fontId="0" fillId="2" borderId="3" xfId="0" applyFill="1" applyBorder="1">
      <alignment vertical="top" wrapText="1"/>
    </xf>
    <xf numFmtId="0" fontId="0" fillId="2" borderId="4" xfId="0" applyFill="1" applyBorder="1">
      <alignment vertical="top" wrapText="1"/>
    </xf>
    <xf numFmtId="0" fontId="0" fillId="2" borderId="5" xfId="0" applyFill="1" applyBorder="1">
      <alignment vertical="top"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wrapText="1" readingOrder="1"/>
    </xf>
    <xf numFmtId="0" fontId="2" fillId="2" borderId="7"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49" fontId="3" fillId="2" borderId="7" xfId="0" applyNumberFormat="1" applyFont="1" applyFill="1" applyBorder="1" applyAlignment="1">
      <alignment horizontal="left" vertical="center" wrapText="1"/>
    </xf>
    <xf numFmtId="0" fontId="2" fillId="2" borderId="7" xfId="0" applyFont="1" applyFill="1" applyBorder="1" applyAlignment="1">
      <alignment horizontal="left" vertical="center" wrapText="1"/>
    </xf>
    <xf numFmtId="49" fontId="3" fillId="2" borderId="9"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0" fontId="2" fillId="2" borderId="9" xfId="0" applyFont="1" applyFill="1" applyBorder="1" applyAlignment="1">
      <alignment horizontal="center" vertical="center" wrapText="1" readingOrder="1"/>
    </xf>
    <xf numFmtId="0" fontId="4" fillId="2" borderId="10" xfId="0" applyFont="1" applyFill="1" applyBorder="1" applyAlignment="1">
      <alignment vertical="top" wrapText="1" readingOrder="1"/>
    </xf>
    <xf numFmtId="49" fontId="3" fillId="4" borderId="11" xfId="0" applyNumberFormat="1"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49" fontId="3" fillId="4" borderId="12" xfId="0" applyNumberFormat="1" applyFont="1" applyFill="1" applyBorder="1" applyAlignment="1">
      <alignment horizontal="center" vertical="center" wrapText="1" readingOrder="1"/>
    </xf>
    <xf numFmtId="49" fontId="3" fillId="4" borderId="13" xfId="0" applyNumberFormat="1" applyFont="1" applyFill="1" applyBorder="1" applyAlignment="1">
      <alignment horizontal="center" vertical="center" wrapText="1" readingOrder="1"/>
    </xf>
    <xf numFmtId="0" fontId="3" fillId="2" borderId="14"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0" fillId="2" borderId="10" xfId="0" applyFill="1" applyBorder="1">
      <alignment vertical="top" wrapText="1"/>
    </xf>
    <xf numFmtId="49" fontId="2" fillId="5" borderId="11" xfId="0" applyNumberFormat="1" applyFont="1" applyFill="1" applyBorder="1" applyAlignment="1">
      <alignment horizontal="center" vertical="center" wrapText="1" readingOrder="1"/>
    </xf>
    <xf numFmtId="49" fontId="2" fillId="5" borderId="12" xfId="0" applyNumberFormat="1" applyFont="1" applyFill="1" applyBorder="1" applyAlignment="1">
      <alignment horizontal="left" vertical="center" wrapText="1" readingOrder="1"/>
    </xf>
    <xf numFmtId="0" fontId="2" fillId="5" borderId="12" xfId="0" applyNumberFormat="1" applyFont="1" applyFill="1" applyBorder="1" applyAlignment="1">
      <alignment horizontal="center" vertical="center" wrapText="1" readingOrder="1"/>
    </xf>
    <xf numFmtId="49" fontId="2" fillId="5" borderId="12" xfId="0" applyNumberFormat="1" applyFont="1" applyFill="1" applyBorder="1" applyAlignment="1">
      <alignment horizontal="center" vertical="center" wrapText="1" readingOrder="1"/>
    </xf>
    <xf numFmtId="3" fontId="2" fillId="5" borderId="12" xfId="0" applyNumberFormat="1" applyFont="1" applyFill="1" applyBorder="1" applyAlignment="1">
      <alignment horizontal="right" vertical="center" wrapText="1" readingOrder="1"/>
    </xf>
    <xf numFmtId="164" fontId="2" fillId="5" borderId="12" xfId="0" applyNumberFormat="1" applyFont="1" applyFill="1" applyBorder="1" applyAlignment="1">
      <alignment horizontal="center" vertical="center" wrapText="1" readingOrder="1"/>
    </xf>
    <xf numFmtId="49" fontId="2" fillId="5" borderId="13" xfId="0" applyNumberFormat="1" applyFont="1" applyFill="1" applyBorder="1" applyAlignment="1">
      <alignment horizontal="center" vertical="center" wrapText="1" readingOrder="1"/>
    </xf>
    <xf numFmtId="0" fontId="2" fillId="2" borderId="14" xfId="0" applyFont="1" applyFill="1" applyBorder="1" applyAlignment="1">
      <alignment horizontal="center" vertical="center" wrapText="1" readingOrder="1"/>
    </xf>
    <xf numFmtId="49" fontId="2" fillId="6" borderId="16" xfId="0" applyNumberFormat="1" applyFont="1" applyFill="1" applyBorder="1" applyAlignment="1">
      <alignment horizontal="left" vertical="center" wrapText="1" readingOrder="1"/>
    </xf>
    <xf numFmtId="3" fontId="2" fillId="6" borderId="16" xfId="0" applyNumberFormat="1" applyFont="1" applyFill="1" applyBorder="1" applyAlignment="1">
      <alignment horizontal="left" vertical="center" wrapText="1" readingOrder="1"/>
    </xf>
    <xf numFmtId="49" fontId="2" fillId="6" borderId="16" xfId="0" applyNumberFormat="1" applyFont="1" applyFill="1" applyBorder="1" applyAlignment="1">
      <alignment horizontal="center" vertical="center" wrapText="1" readingOrder="1"/>
    </xf>
    <xf numFmtId="3" fontId="2" fillId="6" borderId="16" xfId="0" applyNumberFormat="1" applyFont="1" applyFill="1" applyBorder="1" applyAlignment="1">
      <alignment horizontal="right" vertical="center" wrapText="1" readingOrder="1"/>
    </xf>
    <xf numFmtId="49" fontId="2" fillId="2" borderId="16" xfId="0" applyNumberFormat="1" applyFont="1" applyFill="1" applyBorder="1" applyAlignment="1">
      <alignment horizontal="left" vertical="center" wrapText="1" readingOrder="1"/>
    </xf>
    <xf numFmtId="164" fontId="2" fillId="2" borderId="16" xfId="0" applyNumberFormat="1" applyFont="1" applyFill="1" applyBorder="1" applyAlignment="1">
      <alignment horizontal="right" vertical="center" wrapText="1" readingOrder="1"/>
    </xf>
    <xf numFmtId="49" fontId="2" fillId="6" borderId="17" xfId="0" applyNumberFormat="1" applyFont="1" applyFill="1" applyBorder="1" applyAlignment="1">
      <alignment horizontal="center" vertical="center" wrapText="1" readingOrder="1"/>
    </xf>
    <xf numFmtId="49" fontId="2" fillId="6" borderId="19" xfId="0" applyNumberFormat="1" applyFont="1" applyFill="1" applyBorder="1" applyAlignment="1">
      <alignment horizontal="left" vertical="center" wrapText="1" readingOrder="1"/>
    </xf>
    <xf numFmtId="3" fontId="2" fillId="6" borderId="19" xfId="0" applyNumberFormat="1" applyFont="1" applyFill="1" applyBorder="1" applyAlignment="1">
      <alignment horizontal="left" vertical="center" wrapText="1" readingOrder="1"/>
    </xf>
    <xf numFmtId="49" fontId="2" fillId="6" borderId="19" xfId="0" applyNumberFormat="1" applyFont="1" applyFill="1" applyBorder="1" applyAlignment="1">
      <alignment horizontal="center" vertical="center" wrapText="1" readingOrder="1"/>
    </xf>
    <xf numFmtId="3" fontId="2" fillId="6" borderId="19" xfId="0" applyNumberFormat="1" applyFont="1" applyFill="1" applyBorder="1" applyAlignment="1">
      <alignment horizontal="right" vertical="center" wrapText="1" readingOrder="1"/>
    </xf>
    <xf numFmtId="49" fontId="2" fillId="2" borderId="19" xfId="0" applyNumberFormat="1" applyFont="1" applyFill="1" applyBorder="1" applyAlignment="1">
      <alignment horizontal="left" vertical="center" wrapText="1" readingOrder="1"/>
    </xf>
    <xf numFmtId="164" fontId="2" fillId="2" borderId="19" xfId="0" applyNumberFormat="1" applyFont="1" applyFill="1" applyBorder="1" applyAlignment="1">
      <alignment horizontal="right" vertical="center" wrapText="1" readingOrder="1"/>
    </xf>
    <xf numFmtId="49" fontId="2" fillId="6" borderId="20" xfId="0" applyNumberFormat="1" applyFont="1" applyFill="1" applyBorder="1" applyAlignment="1">
      <alignment horizontal="center" vertical="center" wrapText="1" readingOrder="1"/>
    </xf>
    <xf numFmtId="165" fontId="2" fillId="6" borderId="19" xfId="0" applyNumberFormat="1" applyFont="1" applyFill="1" applyBorder="1" applyAlignment="1">
      <alignment horizontal="right" vertical="center" wrapText="1" readingOrder="1"/>
    </xf>
    <xf numFmtId="49" fontId="2" fillId="6" borderId="19" xfId="0" applyNumberFormat="1" applyFont="1" applyFill="1" applyBorder="1" applyAlignment="1">
      <alignment horizontal="right" vertical="center" wrapText="1" readingOrder="1"/>
    </xf>
    <xf numFmtId="49" fontId="2" fillId="2" borderId="19" xfId="0" applyNumberFormat="1" applyFont="1" applyFill="1" applyBorder="1" applyAlignment="1">
      <alignment horizontal="right" vertical="center" wrapText="1" readingOrder="1"/>
    </xf>
    <xf numFmtId="3" fontId="2" fillId="2" borderId="19" xfId="0" applyNumberFormat="1" applyFont="1" applyFill="1" applyBorder="1" applyAlignment="1">
      <alignment horizontal="right" vertical="center" wrapText="1" readingOrder="1"/>
    </xf>
    <xf numFmtId="49" fontId="2" fillId="6" borderId="22" xfId="0" applyNumberFormat="1" applyFont="1" applyFill="1" applyBorder="1" applyAlignment="1">
      <alignment horizontal="left" vertical="center" wrapText="1" readingOrder="1"/>
    </xf>
    <xf numFmtId="3" fontId="2" fillId="6" borderId="22" xfId="0" applyNumberFormat="1" applyFont="1" applyFill="1" applyBorder="1" applyAlignment="1">
      <alignment horizontal="left" vertical="center" wrapText="1" readingOrder="1"/>
    </xf>
    <xf numFmtId="49" fontId="2" fillId="6" borderId="22" xfId="0" applyNumberFormat="1" applyFont="1" applyFill="1" applyBorder="1" applyAlignment="1">
      <alignment horizontal="center" vertical="center" wrapText="1" readingOrder="1"/>
    </xf>
    <xf numFmtId="49" fontId="2" fillId="6" borderId="22" xfId="0" applyNumberFormat="1" applyFont="1" applyFill="1" applyBorder="1" applyAlignment="1">
      <alignment horizontal="right" vertical="center" wrapText="1" readingOrder="1"/>
    </xf>
    <xf numFmtId="49" fontId="2" fillId="2" borderId="22" xfId="0" applyNumberFormat="1" applyFont="1" applyFill="1" applyBorder="1" applyAlignment="1">
      <alignment horizontal="left" vertical="center" wrapText="1" readingOrder="1"/>
    </xf>
    <xf numFmtId="49" fontId="2" fillId="2" borderId="22" xfId="0" applyNumberFormat="1" applyFont="1" applyFill="1" applyBorder="1" applyAlignment="1">
      <alignment horizontal="right" vertical="center" wrapText="1" readingOrder="1"/>
    </xf>
    <xf numFmtId="49" fontId="2" fillId="6" borderId="23" xfId="0" applyNumberFormat="1" applyFont="1" applyFill="1" applyBorder="1" applyAlignment="1">
      <alignment horizontal="center" vertical="center" wrapText="1" readingOrder="1"/>
    </xf>
    <xf numFmtId="0" fontId="2" fillId="2" borderId="24" xfId="0" applyFont="1" applyFill="1" applyBorder="1" applyAlignment="1">
      <alignment horizontal="left" vertical="center" wrapText="1"/>
    </xf>
    <xf numFmtId="0" fontId="6" fillId="2" borderId="24" xfId="0" applyFont="1" applyFill="1" applyBorder="1" applyAlignment="1">
      <alignment vertical="center" wrapText="1" readingOrder="1"/>
    </xf>
    <xf numFmtId="0" fontId="2" fillId="2" borderId="24" xfId="0" applyFont="1" applyFill="1" applyBorder="1" applyAlignment="1">
      <alignment horizontal="center" vertical="center" wrapText="1" readingOrder="1"/>
    </xf>
    <xf numFmtId="0" fontId="6" fillId="2" borderId="9" xfId="0" applyFont="1" applyFill="1" applyBorder="1" applyAlignment="1">
      <alignment vertical="center" wrapText="1" readingOrder="1"/>
    </xf>
    <xf numFmtId="49" fontId="2" fillId="4" borderId="11" xfId="0" applyNumberFormat="1" applyFont="1" applyFill="1" applyBorder="1" applyAlignment="1">
      <alignment horizontal="left" vertical="center" wrapText="1" readingOrder="1"/>
    </xf>
    <xf numFmtId="49" fontId="2" fillId="4" borderId="12" xfId="0" applyNumberFormat="1" applyFont="1" applyFill="1" applyBorder="1" applyAlignment="1">
      <alignment horizontal="center" vertical="center" wrapText="1" readingOrder="1"/>
    </xf>
    <xf numFmtId="49" fontId="2" fillId="4" borderId="13" xfId="0" applyNumberFormat="1" applyFont="1" applyFill="1" applyBorder="1" applyAlignment="1">
      <alignment horizontal="center" vertical="center" wrapText="1" readingOrder="1"/>
    </xf>
    <xf numFmtId="0" fontId="0" fillId="3" borderId="7" xfId="0" applyFill="1" applyBorder="1">
      <alignment vertical="top" wrapText="1"/>
    </xf>
    <xf numFmtId="49" fontId="2" fillId="2" borderId="15" xfId="0" applyNumberFormat="1" applyFont="1" applyFill="1" applyBorder="1" applyAlignment="1">
      <alignment horizontal="left" vertical="center" wrapText="1" readingOrder="1"/>
    </xf>
    <xf numFmtId="49" fontId="2" fillId="2" borderId="18" xfId="0" applyNumberFormat="1" applyFont="1" applyFill="1" applyBorder="1" applyAlignment="1">
      <alignment horizontal="left" vertical="center" wrapText="1" readingOrder="1"/>
    </xf>
    <xf numFmtId="166" fontId="2" fillId="8" borderId="19" xfId="0" applyNumberFormat="1" applyFont="1" applyFill="1" applyBorder="1" applyAlignment="1">
      <alignment horizontal="center" vertical="center" wrapText="1" readingOrder="1"/>
    </xf>
    <xf numFmtId="166" fontId="2" fillId="8" borderId="20" xfId="0" applyNumberFormat="1" applyFont="1" applyFill="1" applyBorder="1" applyAlignment="1">
      <alignment horizontal="center" vertical="center" wrapText="1" readingOrder="1"/>
    </xf>
    <xf numFmtId="49" fontId="2" fillId="2" borderId="21" xfId="0" applyNumberFormat="1" applyFont="1" applyFill="1" applyBorder="1" applyAlignment="1">
      <alignment horizontal="left" vertical="center" wrapText="1" readingOrder="1"/>
    </xf>
    <xf numFmtId="10" fontId="2" fillId="2" borderId="22" xfId="0" applyNumberFormat="1" applyFont="1" applyFill="1" applyBorder="1" applyAlignment="1">
      <alignment horizontal="center" vertical="center" wrapText="1" readingOrder="1"/>
    </xf>
    <xf numFmtId="10" fontId="2" fillId="2" borderId="23" xfId="0" applyNumberFormat="1" applyFont="1" applyFill="1" applyBorder="1" applyAlignment="1">
      <alignment horizontal="center" vertical="center" wrapText="1" readingOrder="1"/>
    </xf>
    <xf numFmtId="0" fontId="6" fillId="3" borderId="7" xfId="0" applyFont="1" applyFill="1" applyBorder="1" applyAlignment="1">
      <alignment vertical="center" wrapText="1" readingOrder="1"/>
    </xf>
    <xf numFmtId="49" fontId="3" fillId="2" borderId="25" xfId="0" applyNumberFormat="1" applyFont="1" applyFill="1" applyBorder="1" applyAlignment="1">
      <alignment horizontal="left" vertical="center" wrapText="1"/>
    </xf>
    <xf numFmtId="0" fontId="6" fillId="2" borderId="25" xfId="0" applyFont="1" applyFill="1" applyBorder="1" applyAlignment="1">
      <alignment vertical="center" wrapText="1" readingOrder="1"/>
    </xf>
    <xf numFmtId="0" fontId="2" fillId="2" borderId="25" xfId="0" applyFont="1" applyFill="1" applyBorder="1" applyAlignment="1">
      <alignment horizontal="center" vertical="center" wrapText="1" readingOrder="1"/>
    </xf>
    <xf numFmtId="0" fontId="0" fillId="2" borderId="26" xfId="0" applyFill="1" applyBorder="1">
      <alignment vertical="top" wrapText="1"/>
    </xf>
    <xf numFmtId="49" fontId="2" fillId="4" borderId="27" xfId="0" applyNumberFormat="1" applyFont="1" applyFill="1" applyBorder="1" applyAlignment="1">
      <alignment horizontal="center" vertical="center" wrapText="1"/>
    </xf>
    <xf numFmtId="49" fontId="2" fillId="4" borderId="28" xfId="0" applyNumberFormat="1" applyFont="1" applyFill="1" applyBorder="1" applyAlignment="1">
      <alignment horizontal="center" vertical="center" wrapText="1"/>
    </xf>
    <xf numFmtId="49" fontId="2" fillId="4" borderId="29" xfId="0" applyNumberFormat="1" applyFont="1" applyFill="1" applyBorder="1" applyAlignment="1">
      <alignment horizontal="center" vertical="center" wrapText="1"/>
    </xf>
    <xf numFmtId="49" fontId="2" fillId="4" borderId="30"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readingOrder="1"/>
    </xf>
    <xf numFmtId="49" fontId="2" fillId="2" borderId="32" xfId="0" applyNumberFormat="1" applyFont="1" applyFill="1" applyBorder="1" applyAlignment="1">
      <alignment horizontal="left" vertical="center" wrapText="1"/>
    </xf>
    <xf numFmtId="164" fontId="2" fillId="8" borderId="33" xfId="0" applyNumberFormat="1" applyFont="1" applyFill="1" applyBorder="1" applyAlignment="1">
      <alignment horizontal="center" vertical="center" wrapText="1"/>
    </xf>
    <xf numFmtId="164" fontId="2" fillId="8" borderId="34" xfId="0" applyNumberFormat="1" applyFont="1" applyFill="1" applyBorder="1" applyAlignment="1">
      <alignment horizontal="center" vertical="center" wrapText="1"/>
    </xf>
    <xf numFmtId="164" fontId="2" fillId="8" borderId="35" xfId="0" applyNumberFormat="1" applyFont="1" applyFill="1" applyBorder="1" applyAlignment="1">
      <alignment horizontal="center" vertical="center" wrapText="1"/>
    </xf>
    <xf numFmtId="49" fontId="8" fillId="0" borderId="36" xfId="0" applyNumberFormat="1" applyFont="1" applyBorder="1" applyAlignment="1">
      <alignment horizontal="left" vertical="center" wrapText="1"/>
    </xf>
    <xf numFmtId="167" fontId="2" fillId="8" borderId="37" xfId="0" applyNumberFormat="1" applyFont="1" applyFill="1" applyBorder="1" applyAlignment="1">
      <alignment horizontal="center" vertical="center" wrapText="1"/>
    </xf>
    <xf numFmtId="167" fontId="2" fillId="8" borderId="38" xfId="0" applyNumberFormat="1" applyFont="1" applyFill="1" applyBorder="1" applyAlignment="1">
      <alignment horizontal="center" vertical="center" wrapText="1"/>
    </xf>
    <xf numFmtId="167" fontId="2" fillId="8" borderId="39" xfId="0" applyNumberFormat="1" applyFont="1" applyFill="1" applyBorder="1" applyAlignment="1">
      <alignment horizontal="center" vertical="center" wrapText="1"/>
    </xf>
    <xf numFmtId="166" fontId="2" fillId="8" borderId="37" xfId="0" applyNumberFormat="1" applyFont="1" applyFill="1" applyBorder="1" applyAlignment="1">
      <alignment horizontal="center" vertical="center" wrapText="1"/>
    </xf>
    <xf numFmtId="166" fontId="2" fillId="8" borderId="38" xfId="0" applyNumberFormat="1" applyFont="1" applyFill="1" applyBorder="1" applyAlignment="1">
      <alignment horizontal="center" vertical="center" wrapText="1"/>
    </xf>
    <xf numFmtId="166" fontId="2" fillId="8"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left" vertical="center" wrapText="1"/>
    </xf>
    <xf numFmtId="49" fontId="2" fillId="2" borderId="41" xfId="0" applyNumberFormat="1" applyFont="1" applyFill="1" applyBorder="1" applyAlignment="1">
      <alignment horizontal="left" vertical="center" wrapText="1"/>
    </xf>
    <xf numFmtId="1" fontId="2" fillId="8" borderId="37" xfId="0" applyNumberFormat="1" applyFont="1" applyFill="1" applyBorder="1" applyAlignment="1">
      <alignment horizontal="center" vertical="center" wrapText="1"/>
    </xf>
    <xf numFmtId="1" fontId="2" fillId="8" borderId="38" xfId="0" applyNumberFormat="1" applyFont="1" applyFill="1" applyBorder="1" applyAlignment="1">
      <alignment horizontal="center" vertical="center" wrapText="1"/>
    </xf>
    <xf numFmtId="1" fontId="2" fillId="8" borderId="39" xfId="0" applyNumberFormat="1" applyFont="1" applyFill="1" applyBorder="1" applyAlignment="1">
      <alignment horizontal="center" vertical="center" wrapText="1"/>
    </xf>
    <xf numFmtId="49" fontId="2" fillId="2" borderId="42" xfId="0" applyNumberFormat="1" applyFont="1" applyFill="1" applyBorder="1" applyAlignment="1">
      <alignment horizontal="left" vertical="center" wrapText="1"/>
    </xf>
    <xf numFmtId="10" fontId="2" fillId="8" borderId="43" xfId="0" applyNumberFormat="1" applyFont="1" applyFill="1" applyBorder="1" applyAlignment="1">
      <alignment horizontal="center" vertical="center" wrapText="1"/>
    </xf>
    <xf numFmtId="10" fontId="2" fillId="8" borderId="44" xfId="0" applyNumberFormat="1" applyFont="1" applyFill="1" applyBorder="1" applyAlignment="1">
      <alignment horizontal="center" vertical="center" wrapText="1"/>
    </xf>
    <xf numFmtId="10" fontId="2" fillId="8" borderId="45" xfId="0" applyNumberFormat="1" applyFont="1" applyFill="1" applyBorder="1" applyAlignment="1">
      <alignment horizontal="center" vertical="center" wrapText="1"/>
    </xf>
    <xf numFmtId="0" fontId="9" fillId="2" borderId="26" xfId="0" applyFont="1" applyFill="1" applyBorder="1" applyAlignment="1">
      <alignment vertical="top" wrapText="1" readingOrder="1"/>
    </xf>
    <xf numFmtId="49" fontId="10" fillId="9" borderId="27" xfId="0" applyNumberFormat="1" applyFont="1" applyFill="1" applyBorder="1" applyAlignment="1">
      <alignment horizontal="left" vertical="center" wrapText="1"/>
    </xf>
    <xf numFmtId="168" fontId="10" fillId="9" borderId="28" xfId="0" applyNumberFormat="1" applyFont="1" applyFill="1" applyBorder="1" applyAlignment="1">
      <alignment horizontal="center" vertical="center" wrapText="1"/>
    </xf>
    <xf numFmtId="168" fontId="10" fillId="9" borderId="29" xfId="0" applyNumberFormat="1" applyFont="1" applyFill="1" applyBorder="1" applyAlignment="1">
      <alignment horizontal="center" vertical="center" wrapText="1"/>
    </xf>
    <xf numFmtId="168" fontId="10" fillId="9" borderId="30" xfId="0" applyNumberFormat="1" applyFont="1" applyFill="1" applyBorder="1" applyAlignment="1">
      <alignment horizontal="center" vertical="center" wrapText="1"/>
    </xf>
    <xf numFmtId="0" fontId="10" fillId="2" borderId="31"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0" fillId="2" borderId="8" xfId="0" applyFont="1" applyFill="1" applyBorder="1" applyAlignment="1">
      <alignment horizontal="center" vertical="center" wrapText="1" readingOrder="1"/>
    </xf>
    <xf numFmtId="0" fontId="6" fillId="2" borderId="6" xfId="0" applyFont="1" applyFill="1" applyBorder="1" applyAlignment="1">
      <alignment vertical="center" wrapText="1" readingOrder="1"/>
    </xf>
    <xf numFmtId="0" fontId="2" fillId="2" borderId="46" xfId="0" applyFont="1" applyFill="1" applyBorder="1" applyAlignment="1">
      <alignment horizontal="center" vertical="center" wrapText="1" readingOrder="1"/>
    </xf>
    <xf numFmtId="49" fontId="2" fillId="2" borderId="47" xfId="0" applyNumberFormat="1" applyFont="1" applyFill="1" applyBorder="1" applyAlignment="1">
      <alignment horizontal="left" vertical="center" wrapText="1"/>
    </xf>
    <xf numFmtId="0" fontId="6" fillId="2" borderId="48" xfId="0" applyFont="1" applyFill="1" applyBorder="1" applyAlignment="1">
      <alignment vertical="center" wrapText="1" readingOrder="1"/>
    </xf>
    <xf numFmtId="0" fontId="2" fillId="2" borderId="49" xfId="0" applyNumberFormat="1" applyFont="1" applyFill="1" applyBorder="1" applyAlignment="1">
      <alignment horizontal="center" vertical="center" wrapText="1" readingOrder="1"/>
    </xf>
    <xf numFmtId="0" fontId="2" fillId="2" borderId="50" xfId="0" applyNumberFormat="1" applyFont="1" applyFill="1" applyBorder="1" applyAlignment="1">
      <alignment horizontal="center" vertical="center" wrapText="1" readingOrder="1"/>
    </xf>
    <xf numFmtId="49" fontId="2" fillId="2" borderId="51" xfId="0" applyNumberFormat="1" applyFont="1" applyFill="1" applyBorder="1" applyAlignment="1">
      <alignment horizontal="left" vertical="center" wrapText="1"/>
    </xf>
    <xf numFmtId="10" fontId="2" fillId="2" borderId="52" xfId="0" applyNumberFormat="1" applyFont="1" applyFill="1" applyBorder="1" applyAlignment="1">
      <alignment horizontal="center" vertical="center" wrapText="1" readingOrder="1"/>
    </xf>
    <xf numFmtId="0" fontId="2" fillId="2" borderId="53" xfId="0" applyFont="1" applyFill="1" applyBorder="1" applyAlignment="1">
      <alignment horizontal="center" vertical="center" wrapText="1" readingOrder="1"/>
    </xf>
    <xf numFmtId="0" fontId="2" fillId="2" borderId="6" xfId="0" applyFont="1" applyFill="1" applyBorder="1" applyAlignment="1">
      <alignment vertical="center" wrapText="1" readingOrder="1"/>
    </xf>
    <xf numFmtId="0" fontId="2" fillId="2" borderId="54" xfId="0" applyFont="1" applyFill="1" applyBorder="1" applyAlignment="1">
      <alignment horizontal="center" vertical="center" wrapText="1" readingOrder="1"/>
    </xf>
    <xf numFmtId="49" fontId="2" fillId="2" borderId="55" xfId="0" applyNumberFormat="1" applyFont="1" applyFill="1" applyBorder="1" applyAlignment="1">
      <alignment horizontal="left" vertical="center" wrapText="1"/>
    </xf>
    <xf numFmtId="166" fontId="2" fillId="2" borderId="56" xfId="0" applyNumberFormat="1" applyFont="1" applyFill="1" applyBorder="1" applyAlignment="1">
      <alignment horizontal="center" vertical="center" wrapText="1" readingOrder="1"/>
    </xf>
    <xf numFmtId="0" fontId="2" fillId="2" borderId="57" xfId="0" applyFont="1" applyFill="1" applyBorder="1" applyAlignment="1">
      <alignment horizontal="center" vertical="center" wrapText="1" readingOrder="1"/>
    </xf>
    <xf numFmtId="0" fontId="2" fillId="2" borderId="7" xfId="0" applyFont="1" applyFill="1" applyBorder="1" applyAlignment="1">
      <alignment vertical="center" wrapText="1" readingOrder="1"/>
    </xf>
    <xf numFmtId="0" fontId="2" fillId="2" borderId="7" xfId="0" applyFont="1" applyFill="1" applyBorder="1" applyAlignment="1">
      <alignment horizontal="left" vertical="center" wrapText="1" readingOrder="1"/>
    </xf>
    <xf numFmtId="0" fontId="2" fillId="2" borderId="58" xfId="0" applyFont="1" applyFill="1" applyBorder="1" applyAlignment="1">
      <alignment vertical="center" wrapText="1" readingOrder="1"/>
    </xf>
    <xf numFmtId="169" fontId="2" fillId="2" borderId="56" xfId="0" applyNumberFormat="1" applyFont="1" applyFill="1" applyBorder="1" applyAlignment="1">
      <alignment horizontal="center" vertical="center" wrapText="1" readingOrder="1"/>
    </xf>
    <xf numFmtId="3" fontId="2" fillId="2" borderId="56" xfId="0" applyNumberFormat="1" applyFont="1" applyFill="1" applyBorder="1" applyAlignment="1">
      <alignment horizontal="center" vertical="center" wrapText="1" readingOrder="1"/>
    </xf>
    <xf numFmtId="0" fontId="2" fillId="2" borderId="58" xfId="0" applyFont="1" applyFill="1" applyBorder="1" applyAlignment="1">
      <alignment horizontal="center" vertical="center" wrapText="1" readingOrder="1"/>
    </xf>
    <xf numFmtId="49" fontId="2" fillId="2" borderId="59" xfId="0" applyNumberFormat="1" applyFont="1" applyFill="1" applyBorder="1" applyAlignment="1">
      <alignment horizontal="left" vertical="center" wrapText="1"/>
    </xf>
    <xf numFmtId="3" fontId="2" fillId="2" borderId="60" xfId="0" applyNumberFormat="1" applyFont="1" applyFill="1" applyBorder="1" applyAlignment="1">
      <alignment horizontal="center" vertical="center" wrapText="1" readingOrder="1"/>
    </xf>
    <xf numFmtId="0" fontId="2" fillId="2" borderId="61" xfId="0" applyNumberFormat="1" applyFont="1" applyFill="1" applyBorder="1" applyAlignment="1">
      <alignment horizontal="center" vertical="center" wrapText="1" readingOrder="1"/>
    </xf>
    <xf numFmtId="0" fontId="2" fillId="2" borderId="25" xfId="0" applyNumberFormat="1" applyFont="1" applyFill="1" applyBorder="1" applyAlignment="1">
      <alignment horizontal="center" vertical="center" wrapText="1" readingOrder="1"/>
    </xf>
    <xf numFmtId="0" fontId="2" fillId="2" borderId="62" xfId="0" applyNumberFormat="1" applyFont="1" applyFill="1" applyBorder="1" applyAlignment="1">
      <alignment horizontal="center" vertical="center" wrapText="1" readingOrder="1"/>
    </xf>
    <xf numFmtId="0" fontId="4" fillId="2" borderId="26" xfId="0" applyFont="1" applyFill="1" applyBorder="1" applyAlignment="1">
      <alignment vertical="top" wrapText="1" readingOrder="1"/>
    </xf>
    <xf numFmtId="49" fontId="3" fillId="2" borderId="51" xfId="0" applyNumberFormat="1" applyFont="1" applyFill="1" applyBorder="1" applyAlignment="1">
      <alignment horizontal="left" vertical="center" wrapText="1"/>
    </xf>
    <xf numFmtId="49" fontId="3" fillId="2" borderId="52" xfId="0" applyNumberFormat="1" applyFont="1" applyFill="1" applyBorder="1" applyAlignment="1">
      <alignment horizontal="center" vertical="center" wrapText="1" readingOrder="1"/>
    </xf>
    <xf numFmtId="0" fontId="3" fillId="2" borderId="63" xfId="0" applyFont="1" applyFill="1" applyBorder="1" applyAlignment="1">
      <alignment vertical="center" wrapText="1" readingOrder="1"/>
    </xf>
    <xf numFmtId="0" fontId="3" fillId="2" borderId="64" xfId="0" applyFont="1" applyFill="1" applyBorder="1" applyAlignment="1">
      <alignment vertical="center" wrapText="1" readingOrder="1"/>
    </xf>
    <xf numFmtId="0" fontId="3" fillId="2" borderId="65" xfId="0" applyFont="1" applyFill="1" applyBorder="1" applyAlignment="1">
      <alignment vertical="center" wrapText="1" readingOrder="1"/>
    </xf>
    <xf numFmtId="168" fontId="2" fillId="2" borderId="56" xfId="0" applyNumberFormat="1" applyFont="1" applyFill="1" applyBorder="1" applyAlignment="1">
      <alignment vertical="center" wrapText="1" readingOrder="1"/>
    </xf>
    <xf numFmtId="3" fontId="2" fillId="2" borderId="66" xfId="0" applyNumberFormat="1" applyFont="1" applyFill="1" applyBorder="1" applyAlignment="1">
      <alignment vertical="center" wrapText="1" readingOrder="1"/>
    </xf>
    <xf numFmtId="3" fontId="2" fillId="2" borderId="67" xfId="0" applyNumberFormat="1" applyFont="1" applyFill="1" applyBorder="1" applyAlignment="1">
      <alignment vertical="center" wrapText="1" readingOrder="1"/>
    </xf>
    <xf numFmtId="3" fontId="2" fillId="2" borderId="68" xfId="0" applyNumberFormat="1" applyFont="1" applyFill="1" applyBorder="1" applyAlignment="1">
      <alignment vertical="center" wrapText="1" readingOrder="1"/>
    </xf>
    <xf numFmtId="49" fontId="8" fillId="6" borderId="69" xfId="0" applyNumberFormat="1" applyFont="1" applyFill="1" applyBorder="1" applyAlignment="1">
      <alignment horizontal="left" vertical="center" wrapText="1"/>
    </xf>
    <xf numFmtId="168" fontId="2" fillId="8" borderId="70" xfId="0" applyNumberFormat="1" applyFont="1" applyFill="1" applyBorder="1" applyAlignment="1">
      <alignment vertical="center" wrapText="1" readingOrder="1"/>
    </xf>
    <xf numFmtId="49" fontId="8" fillId="6" borderId="71" xfId="0" applyNumberFormat="1" applyFont="1" applyFill="1" applyBorder="1" applyAlignment="1">
      <alignment horizontal="left" vertical="center" wrapText="1"/>
    </xf>
    <xf numFmtId="168" fontId="2" fillId="8" borderId="72" xfId="0" applyNumberFormat="1" applyFont="1" applyFill="1" applyBorder="1" applyAlignment="1">
      <alignment vertical="center" wrapText="1" readingOrder="1"/>
    </xf>
    <xf numFmtId="3" fontId="2" fillId="2" borderId="73" xfId="0" applyNumberFormat="1" applyFont="1" applyFill="1" applyBorder="1" applyAlignment="1">
      <alignment vertical="center" wrapText="1" readingOrder="1"/>
    </xf>
    <xf numFmtId="3" fontId="2" fillId="2" borderId="74" xfId="0" applyNumberFormat="1" applyFont="1" applyFill="1" applyBorder="1" applyAlignment="1">
      <alignment vertical="center" wrapText="1" readingOrder="1"/>
    </xf>
    <xf numFmtId="3" fontId="2" fillId="2" borderId="75" xfId="0" applyNumberFormat="1" applyFont="1" applyFill="1" applyBorder="1" applyAlignment="1">
      <alignment vertical="center" wrapText="1" readingOrder="1"/>
    </xf>
    <xf numFmtId="49" fontId="3" fillId="2" borderId="76" xfId="0" applyNumberFormat="1" applyFont="1" applyFill="1" applyBorder="1" applyAlignment="1">
      <alignment horizontal="center" vertical="center" wrapText="1" readingOrder="1"/>
    </xf>
    <xf numFmtId="3" fontId="3" fillId="2" borderId="63" xfId="0" applyNumberFormat="1" applyFont="1" applyFill="1" applyBorder="1" applyAlignment="1">
      <alignment vertical="center" wrapText="1" readingOrder="1"/>
    </xf>
    <xf numFmtId="3" fontId="3" fillId="2" borderId="64" xfId="0" applyNumberFormat="1" applyFont="1" applyFill="1" applyBorder="1" applyAlignment="1">
      <alignment vertical="center" wrapText="1" readingOrder="1"/>
    </xf>
    <xf numFmtId="3" fontId="3" fillId="2" borderId="65" xfId="0" applyNumberFormat="1" applyFont="1" applyFill="1" applyBorder="1" applyAlignment="1">
      <alignment vertical="center" wrapText="1" readingOrder="1"/>
    </xf>
    <xf numFmtId="49" fontId="8" fillId="2" borderId="55" xfId="0" applyNumberFormat="1" applyFont="1" applyFill="1" applyBorder="1" applyAlignment="1">
      <alignment horizontal="left" vertical="center" wrapText="1"/>
    </xf>
    <xf numFmtId="167" fontId="11" fillId="2" borderId="77" xfId="0" applyNumberFormat="1" applyFont="1" applyFill="1" applyBorder="1" applyAlignment="1">
      <alignment vertical="center" wrapText="1" readingOrder="1"/>
    </xf>
    <xf numFmtId="49" fontId="8" fillId="6" borderId="55" xfId="0" applyNumberFormat="1" applyFont="1" applyFill="1" applyBorder="1" applyAlignment="1">
      <alignment horizontal="left" vertical="center" wrapText="1"/>
    </xf>
    <xf numFmtId="170" fontId="11" fillId="6" borderId="77" xfId="0" applyNumberFormat="1" applyFont="1" applyFill="1" applyBorder="1" applyAlignment="1">
      <alignment vertical="center" wrapText="1" readingOrder="1"/>
    </xf>
    <xf numFmtId="49" fontId="8" fillId="6" borderId="59" xfId="0" applyNumberFormat="1" applyFont="1" applyFill="1" applyBorder="1" applyAlignment="1">
      <alignment horizontal="left" vertical="center" wrapText="1"/>
    </xf>
    <xf numFmtId="168" fontId="11" fillId="6" borderId="78" xfId="0" applyNumberFormat="1" applyFont="1" applyFill="1" applyBorder="1" applyAlignment="1">
      <alignment vertical="center" wrapText="1" readingOrder="1"/>
    </xf>
    <xf numFmtId="164" fontId="2" fillId="2" borderId="52" xfId="0" applyNumberFormat="1" applyFont="1" applyFill="1" applyBorder="1" applyAlignment="1">
      <alignment vertical="center" wrapText="1" readingOrder="1"/>
    </xf>
    <xf numFmtId="3" fontId="2" fillId="2" borderId="63" xfId="0" applyNumberFormat="1" applyFont="1" applyFill="1" applyBorder="1" applyAlignment="1">
      <alignment vertical="center" wrapText="1" readingOrder="1"/>
    </xf>
    <xf numFmtId="3" fontId="2" fillId="2" borderId="64" xfId="0" applyNumberFormat="1" applyFont="1" applyFill="1" applyBorder="1" applyAlignment="1">
      <alignment vertical="center" wrapText="1" readingOrder="1"/>
    </xf>
    <xf numFmtId="3" fontId="2" fillId="2" borderId="65" xfId="0" applyNumberFormat="1" applyFont="1" applyFill="1" applyBorder="1" applyAlignment="1">
      <alignment vertical="center" wrapText="1" readingOrder="1"/>
    </xf>
    <xf numFmtId="171" fontId="6" fillId="3" borderId="60" xfId="0" applyNumberFormat="1" applyFont="1" applyFill="1" applyBorder="1" applyAlignment="1">
      <alignment vertical="center" wrapText="1" readingOrder="1"/>
    </xf>
    <xf numFmtId="49" fontId="2" fillId="10" borderId="47" xfId="0" applyNumberFormat="1" applyFont="1" applyFill="1" applyBorder="1" applyAlignment="1">
      <alignment horizontal="left" vertical="center" wrapText="1"/>
    </xf>
    <xf numFmtId="3" fontId="2" fillId="2" borderId="49" xfId="0" applyNumberFormat="1" applyFont="1" applyFill="1" applyBorder="1" applyAlignment="1">
      <alignment vertical="center" wrapText="1" readingOrder="1"/>
    </xf>
    <xf numFmtId="3" fontId="2" fillId="2" borderId="50" xfId="0" applyNumberFormat="1" applyFont="1" applyFill="1" applyBorder="1" applyAlignment="1">
      <alignment vertical="center" wrapText="1" readingOrder="1"/>
    </xf>
    <xf numFmtId="49" fontId="3" fillId="10" borderId="47" xfId="0" applyNumberFormat="1" applyFont="1" applyFill="1" applyBorder="1" applyAlignment="1">
      <alignment horizontal="left" vertical="center" wrapText="1"/>
    </xf>
    <xf numFmtId="171" fontId="12" fillId="11" borderId="48" xfId="0" applyNumberFormat="1" applyFont="1" applyFill="1" applyBorder="1" applyAlignment="1">
      <alignment vertical="center" wrapText="1" readingOrder="1"/>
    </xf>
    <xf numFmtId="3" fontId="3" fillId="11" borderId="49" xfId="0" applyNumberFormat="1" applyFont="1" applyFill="1" applyBorder="1" applyAlignment="1">
      <alignment vertical="center" wrapText="1" readingOrder="1"/>
    </xf>
    <xf numFmtId="3" fontId="3" fillId="2" borderId="49" xfId="0" applyNumberFormat="1" applyFont="1" applyFill="1" applyBorder="1" applyAlignment="1">
      <alignment vertical="center" wrapText="1" readingOrder="1"/>
    </xf>
    <xf numFmtId="3" fontId="3" fillId="2" borderId="50" xfId="0" applyNumberFormat="1" applyFont="1" applyFill="1" applyBorder="1" applyAlignment="1">
      <alignment vertical="center" wrapText="1" readingOrder="1"/>
    </xf>
    <xf numFmtId="171" fontId="6" fillId="2" borderId="6" xfId="0" applyNumberFormat="1" applyFont="1" applyFill="1" applyBorder="1" applyAlignment="1">
      <alignment vertical="center" wrapText="1" readingOrder="1"/>
    </xf>
    <xf numFmtId="168" fontId="2" fillId="2" borderId="6" xfId="0" applyNumberFormat="1" applyFont="1" applyFill="1" applyBorder="1" applyAlignment="1">
      <alignment vertical="center" wrapText="1" readingOrder="1"/>
    </xf>
    <xf numFmtId="168" fontId="2" fillId="2" borderId="79" xfId="0" applyNumberFormat="1" applyFont="1" applyFill="1" applyBorder="1" applyAlignment="1">
      <alignment vertical="center" wrapText="1" readingOrder="1"/>
    </xf>
    <xf numFmtId="171" fontId="6" fillId="2" borderId="25" xfId="0" applyNumberFormat="1" applyFont="1" applyFill="1" applyBorder="1" applyAlignment="1">
      <alignment vertical="center" wrapText="1" readingOrder="1"/>
    </xf>
    <xf numFmtId="168" fontId="2" fillId="2" borderId="25" xfId="0" applyNumberFormat="1" applyFont="1" applyFill="1" applyBorder="1" applyAlignment="1">
      <alignment vertical="center" wrapText="1" readingOrder="1"/>
    </xf>
    <xf numFmtId="168" fontId="2" fillId="2" borderId="46" xfId="0" applyNumberFormat="1" applyFont="1" applyFill="1" applyBorder="1" applyAlignment="1">
      <alignment vertical="center" wrapText="1" readingOrder="1"/>
    </xf>
    <xf numFmtId="172" fontId="2" fillId="2" borderId="56" xfId="0" applyNumberFormat="1" applyFont="1" applyFill="1" applyBorder="1" applyAlignment="1">
      <alignment horizontal="center" vertical="center" wrapText="1" readingOrder="1"/>
    </xf>
    <xf numFmtId="49" fontId="2" fillId="2" borderId="52" xfId="0" applyNumberFormat="1" applyFont="1" applyFill="1" applyBorder="1" applyAlignment="1">
      <alignment horizontal="center" vertical="center" wrapText="1" readingOrder="1"/>
    </xf>
    <xf numFmtId="0" fontId="2" fillId="2" borderId="63" xfId="0" applyFont="1" applyFill="1" applyBorder="1" applyAlignment="1">
      <alignment vertical="center" wrapText="1" readingOrder="1"/>
    </xf>
    <xf numFmtId="0" fontId="2" fillId="2" borderId="64" xfId="0" applyFont="1" applyFill="1" applyBorder="1" applyAlignment="1">
      <alignment vertical="center" wrapText="1" readingOrder="1"/>
    </xf>
    <xf numFmtId="0" fontId="2" fillId="2" borderId="65" xfId="0" applyFont="1" applyFill="1" applyBorder="1" applyAlignment="1">
      <alignment vertical="center" wrapText="1" readingOrder="1"/>
    </xf>
    <xf numFmtId="164" fontId="2" fillId="2" borderId="56" xfId="0" applyNumberFormat="1" applyFont="1" applyFill="1" applyBorder="1" applyAlignment="1">
      <alignment horizontal="right" vertical="center" wrapText="1" readingOrder="1"/>
    </xf>
    <xf numFmtId="164" fontId="2" fillId="2" borderId="56" xfId="0" applyNumberFormat="1" applyFont="1" applyFill="1" applyBorder="1" applyAlignment="1">
      <alignment vertical="center" wrapText="1" readingOrder="1"/>
    </xf>
    <xf numFmtId="164" fontId="2" fillId="2" borderId="60" xfId="0" applyNumberFormat="1" applyFont="1" applyFill="1" applyBorder="1" applyAlignment="1">
      <alignment vertical="center" wrapText="1" readingOrder="1"/>
    </xf>
    <xf numFmtId="167" fontId="2" fillId="2" borderId="56" xfId="0" applyNumberFormat="1" applyFont="1" applyFill="1" applyBorder="1" applyAlignment="1">
      <alignment vertical="center" wrapText="1" readingOrder="1"/>
    </xf>
    <xf numFmtId="171" fontId="6" fillId="2" borderId="60" xfId="0" applyNumberFormat="1" applyFont="1" applyFill="1" applyBorder="1" applyAlignment="1">
      <alignment vertical="center" wrapText="1" readingOrder="1"/>
    </xf>
    <xf numFmtId="171" fontId="12" fillId="2" borderId="48" xfId="0" applyNumberFormat="1" applyFont="1" applyFill="1" applyBorder="1" applyAlignment="1">
      <alignment vertical="center" wrapText="1" readingOrder="1"/>
    </xf>
    <xf numFmtId="168" fontId="2" fillId="2" borderId="56" xfId="0" applyNumberFormat="1" applyFont="1" applyFill="1" applyBorder="1" applyAlignment="1">
      <alignment horizontal="right" vertical="center" wrapText="1" readingOrder="1"/>
    </xf>
    <xf numFmtId="168" fontId="2" fillId="2" borderId="60" xfId="0" applyNumberFormat="1" applyFont="1" applyFill="1" applyBorder="1" applyAlignment="1">
      <alignment vertical="center" wrapText="1" readingOrder="1"/>
    </xf>
    <xf numFmtId="0" fontId="4" fillId="2" borderId="80" xfId="0" applyFont="1" applyFill="1" applyBorder="1" applyAlignment="1">
      <alignment vertical="top" wrapText="1" readingOrder="1"/>
    </xf>
    <xf numFmtId="49" fontId="13" fillId="0" borderId="81" xfId="0" applyNumberFormat="1" applyFont="1" applyBorder="1" applyAlignment="1">
      <alignment horizontal="left" vertical="top" wrapText="1"/>
    </xf>
    <xf numFmtId="49" fontId="13" fillId="0" borderId="82" xfId="0" applyNumberFormat="1" applyFont="1" applyBorder="1" applyAlignment="1">
      <alignment horizontal="left" vertical="top" wrapText="1"/>
    </xf>
    <xf numFmtId="49" fontId="0" fillId="0" borderId="85" xfId="0" applyNumberFormat="1" applyBorder="1">
      <alignment vertical="top" wrapText="1"/>
    </xf>
    <xf numFmtId="173" fontId="0" fillId="0" borderId="86" xfId="0" applyNumberFormat="1" applyBorder="1">
      <alignment vertical="top" wrapText="1"/>
    </xf>
    <xf numFmtId="49" fontId="15" fillId="13" borderId="92" xfId="0" applyNumberFormat="1" applyFont="1" applyFill="1" applyBorder="1">
      <alignment vertical="top" wrapText="1"/>
    </xf>
    <xf numFmtId="168" fontId="15" fillId="13" borderId="88" xfId="0" applyNumberFormat="1" applyFont="1" applyFill="1" applyBorder="1">
      <alignment vertical="top" wrapText="1"/>
    </xf>
    <xf numFmtId="0" fontId="16" fillId="13" borderId="88" xfId="0" applyFont="1" applyFill="1" applyBorder="1">
      <alignment vertical="top" wrapText="1"/>
    </xf>
    <xf numFmtId="0" fontId="16" fillId="13" borderId="89" xfId="0" applyFont="1" applyFill="1" applyBorder="1">
      <alignment vertical="top" wrapText="1"/>
    </xf>
    <xf numFmtId="0" fontId="15" fillId="13" borderId="88" xfId="0" applyFont="1" applyFill="1" applyBorder="1">
      <alignment vertical="top" wrapText="1"/>
    </xf>
    <xf numFmtId="0" fontId="15" fillId="13" borderId="89" xfId="0" applyFont="1" applyFill="1" applyBorder="1">
      <alignment vertical="top" wrapText="1"/>
    </xf>
    <xf numFmtId="49" fontId="15" fillId="13" borderId="88" xfId="0" applyNumberFormat="1" applyFont="1" applyFill="1" applyBorder="1" applyAlignment="1">
      <alignment horizontal="right" vertical="top" wrapText="1"/>
    </xf>
    <xf numFmtId="168" fontId="15" fillId="13" borderId="88" xfId="0" applyNumberFormat="1" applyFont="1" applyFill="1" applyBorder="1" applyAlignment="1">
      <alignment horizontal="left" vertical="top" wrapText="1"/>
    </xf>
    <xf numFmtId="168" fontId="15" fillId="13" borderId="89" xfId="0" applyNumberFormat="1" applyFont="1" applyFill="1" applyBorder="1" applyAlignment="1">
      <alignment horizontal="left" vertical="top" wrapText="1"/>
    </xf>
    <xf numFmtId="174" fontId="15" fillId="13" borderId="88" xfId="0" applyNumberFormat="1" applyFont="1" applyFill="1" applyBorder="1">
      <alignment vertical="top" wrapText="1"/>
    </xf>
    <xf numFmtId="10" fontId="15" fillId="13" borderId="88" xfId="0" applyNumberFormat="1" applyFont="1" applyFill="1" applyBorder="1">
      <alignment vertical="top" wrapText="1"/>
    </xf>
    <xf numFmtId="166" fontId="15" fillId="13" borderId="88" xfId="0" applyNumberFormat="1" applyFont="1" applyFill="1" applyBorder="1" applyAlignment="1">
      <alignment horizontal="left" vertical="top" wrapText="1"/>
    </xf>
    <xf numFmtId="166" fontId="15" fillId="13" borderId="89" xfId="0" applyNumberFormat="1" applyFont="1" applyFill="1" applyBorder="1" applyAlignment="1">
      <alignment horizontal="left" vertical="top" wrapText="1"/>
    </xf>
    <xf numFmtId="0" fontId="15" fillId="13" borderId="88" xfId="0" applyNumberFormat="1" applyFont="1" applyFill="1" applyBorder="1">
      <alignment vertical="top" wrapText="1"/>
    </xf>
    <xf numFmtId="49" fontId="2" fillId="4" borderId="11" xfId="0" applyNumberFormat="1" applyFont="1" applyFill="1" applyBorder="1" applyAlignment="1">
      <alignment horizontal="center" vertical="center" wrapText="1" readingOrder="1"/>
    </xf>
    <xf numFmtId="0" fontId="2" fillId="4" borderId="12" xfId="0" applyFont="1" applyFill="1" applyBorder="1" applyAlignment="1">
      <alignment horizontal="center" vertical="center" wrapText="1" readingOrder="1"/>
    </xf>
    <xf numFmtId="49" fontId="2" fillId="8" borderId="16" xfId="0" applyNumberFormat="1" applyFont="1" applyFill="1" applyBorder="1" applyAlignment="1">
      <alignment horizontal="left" vertical="center" wrapText="1" readingOrder="1"/>
    </xf>
    <xf numFmtId="3" fontId="6" fillId="8" borderId="16" xfId="0" applyNumberFormat="1" applyFont="1" applyFill="1" applyBorder="1" applyAlignment="1">
      <alignment horizontal="center" vertical="center" wrapText="1" readingOrder="1"/>
    </xf>
    <xf numFmtId="49" fontId="6" fillId="8" borderId="16" xfId="0" applyNumberFormat="1" applyFont="1" applyFill="1" applyBorder="1" applyAlignment="1">
      <alignment horizontal="center" vertical="center" wrapText="1" readingOrder="1"/>
    </xf>
    <xf numFmtId="0" fontId="6" fillId="8" borderId="16" xfId="0" applyNumberFormat="1" applyFont="1" applyFill="1" applyBorder="1" applyAlignment="1">
      <alignment horizontal="right" vertical="center" wrapText="1" readingOrder="1"/>
    </xf>
    <xf numFmtId="49" fontId="6" fillId="8" borderId="16" xfId="0" applyNumberFormat="1" applyFont="1" applyFill="1" applyBorder="1" applyAlignment="1">
      <alignment horizontal="left" vertical="center" wrapText="1" readingOrder="1"/>
    </xf>
    <xf numFmtId="49" fontId="2" fillId="8" borderId="16" xfId="0" applyNumberFormat="1" applyFont="1" applyFill="1" applyBorder="1" applyAlignment="1">
      <alignment horizontal="center" vertical="center" wrapText="1" readingOrder="1"/>
    </xf>
    <xf numFmtId="49" fontId="2" fillId="8" borderId="17" xfId="0" applyNumberFormat="1" applyFont="1" applyFill="1" applyBorder="1" applyAlignment="1">
      <alignment horizontal="center" vertical="center" wrapText="1" readingOrder="1"/>
    </xf>
    <xf numFmtId="49" fontId="2" fillId="8" borderId="19" xfId="0" applyNumberFormat="1" applyFont="1" applyFill="1" applyBorder="1" applyAlignment="1">
      <alignment horizontal="left" vertical="center" wrapText="1" readingOrder="1"/>
    </xf>
    <xf numFmtId="0" fontId="2" fillId="8" borderId="19" xfId="0" applyNumberFormat="1" applyFont="1" applyFill="1" applyBorder="1" applyAlignment="1">
      <alignment horizontal="center" vertical="center" wrapText="1" readingOrder="1"/>
    </xf>
    <xf numFmtId="49" fontId="2" fillId="8" borderId="19" xfId="0" applyNumberFormat="1" applyFont="1" applyFill="1" applyBorder="1" applyAlignment="1">
      <alignment horizontal="center" vertical="center" wrapText="1" readingOrder="1"/>
    </xf>
    <xf numFmtId="3" fontId="2" fillId="8" borderId="19" xfId="0" applyNumberFormat="1" applyFont="1" applyFill="1" applyBorder="1" applyAlignment="1">
      <alignment horizontal="right" vertical="center" wrapText="1" readingOrder="1"/>
    </xf>
    <xf numFmtId="49" fontId="6" fillId="8" borderId="19" xfId="0" applyNumberFormat="1" applyFont="1" applyFill="1" applyBorder="1" applyAlignment="1">
      <alignment horizontal="left" vertical="center" wrapText="1" readingOrder="1"/>
    </xf>
    <xf numFmtId="49" fontId="2" fillId="8" borderId="20" xfId="0" applyNumberFormat="1" applyFont="1" applyFill="1" applyBorder="1" applyAlignment="1">
      <alignment horizontal="center" vertical="center" wrapText="1" readingOrder="1"/>
    </xf>
    <xf numFmtId="3" fontId="2" fillId="8" borderId="19" xfId="0" applyNumberFormat="1" applyFont="1" applyFill="1" applyBorder="1" applyAlignment="1">
      <alignment horizontal="center" vertical="center" wrapText="1" readingOrder="1"/>
    </xf>
    <xf numFmtId="0" fontId="2" fillId="8" borderId="19" xfId="0" applyNumberFormat="1" applyFont="1" applyFill="1" applyBorder="1" applyAlignment="1">
      <alignment horizontal="right" vertical="center" wrapText="1" readingOrder="1"/>
    </xf>
    <xf numFmtId="175" fontId="2" fillId="8" borderId="19" xfId="0" applyNumberFormat="1" applyFont="1" applyFill="1" applyBorder="1" applyAlignment="1">
      <alignment horizontal="center" vertical="center" wrapText="1" readingOrder="1"/>
    </xf>
    <xf numFmtId="0" fontId="2" fillId="8" borderId="20" xfId="0" applyFont="1" applyFill="1" applyBorder="1" applyAlignment="1">
      <alignment horizontal="center" vertical="center" wrapText="1" readingOrder="1"/>
    </xf>
    <xf numFmtId="9" fontId="2" fillId="8" borderId="19" xfId="0" applyNumberFormat="1" applyFont="1" applyFill="1" applyBorder="1" applyAlignment="1">
      <alignment horizontal="center" vertical="center" wrapText="1" readingOrder="1"/>
    </xf>
    <xf numFmtId="0" fontId="2" fillId="8" borderId="19" xfId="0" applyFont="1" applyFill="1" applyBorder="1" applyAlignment="1">
      <alignment horizontal="center" vertical="center" wrapText="1" readingOrder="1"/>
    </xf>
    <xf numFmtId="0" fontId="2" fillId="8" borderId="19" xfId="0" applyFont="1" applyFill="1" applyBorder="1" applyAlignment="1">
      <alignment horizontal="right" vertical="center" wrapText="1" readingOrder="1"/>
    </xf>
    <xf numFmtId="0" fontId="2" fillId="8" borderId="19" xfId="0" applyFont="1" applyFill="1" applyBorder="1" applyAlignment="1">
      <alignment horizontal="left" vertical="center" wrapText="1" readingOrder="1"/>
    </xf>
    <xf numFmtId="49" fontId="2" fillId="8" borderId="22" xfId="0" applyNumberFormat="1" applyFont="1" applyFill="1" applyBorder="1" applyAlignment="1">
      <alignment horizontal="left" vertical="center" wrapText="1" readingOrder="1"/>
    </xf>
    <xf numFmtId="49" fontId="2" fillId="8" borderId="22" xfId="0" applyNumberFormat="1" applyFont="1" applyFill="1" applyBorder="1" applyAlignment="1">
      <alignment horizontal="center" vertical="center" wrapText="1" readingOrder="1"/>
    </xf>
    <xf numFmtId="0" fontId="2" fillId="8" borderId="22" xfId="0" applyFont="1" applyFill="1" applyBorder="1" applyAlignment="1">
      <alignment horizontal="center" vertical="center" wrapText="1" readingOrder="1"/>
    </xf>
    <xf numFmtId="0" fontId="2" fillId="8" borderId="22" xfId="0" applyFont="1" applyFill="1" applyBorder="1" applyAlignment="1">
      <alignment horizontal="right" vertical="center" wrapText="1" readingOrder="1"/>
    </xf>
    <xf numFmtId="164" fontId="2" fillId="8" borderId="22" xfId="0" applyNumberFormat="1" applyFont="1" applyFill="1" applyBorder="1" applyAlignment="1">
      <alignment horizontal="left" vertical="center" wrapText="1" readingOrder="1"/>
    </xf>
    <xf numFmtId="0" fontId="2" fillId="8" borderId="23" xfId="0" applyFont="1" applyFill="1" applyBorder="1" applyAlignment="1">
      <alignment horizontal="center" vertical="center" wrapText="1" readingOrder="1"/>
    </xf>
    <xf numFmtId="49" fontId="2" fillId="2" borderId="96" xfId="0" applyNumberFormat="1" applyFont="1" applyFill="1" applyBorder="1" applyAlignment="1">
      <alignment horizontal="left" vertical="center" wrapText="1"/>
    </xf>
    <xf numFmtId="3" fontId="2" fillId="8" borderId="37" xfId="0" applyNumberFormat="1" applyFont="1" applyFill="1" applyBorder="1" applyAlignment="1">
      <alignment horizontal="center" vertical="center" wrapText="1"/>
    </xf>
    <xf numFmtId="3" fontId="2" fillId="8" borderId="38" xfId="0" applyNumberFormat="1" applyFont="1" applyFill="1" applyBorder="1" applyAlignment="1">
      <alignment horizontal="center" vertical="center" wrapText="1"/>
    </xf>
    <xf numFmtId="3" fontId="2" fillId="8" borderId="39" xfId="0" applyNumberFormat="1" applyFont="1" applyFill="1" applyBorder="1" applyAlignment="1">
      <alignment horizontal="center" vertical="center" wrapText="1"/>
    </xf>
    <xf numFmtId="168" fontId="2" fillId="8" borderId="37" xfId="0" applyNumberFormat="1" applyFont="1" applyFill="1" applyBorder="1" applyAlignment="1">
      <alignment horizontal="center" vertical="center" wrapText="1"/>
    </xf>
    <xf numFmtId="164" fontId="2" fillId="8" borderId="38" xfId="0" applyNumberFormat="1" applyFont="1" applyFill="1" applyBorder="1" applyAlignment="1">
      <alignment horizontal="center" vertical="center" wrapText="1"/>
    </xf>
    <xf numFmtId="164" fontId="2" fillId="8" borderId="39" xfId="0" applyNumberFormat="1" applyFont="1" applyFill="1" applyBorder="1" applyAlignment="1">
      <alignment horizontal="center" vertical="center" wrapText="1"/>
    </xf>
    <xf numFmtId="9" fontId="2" fillId="8" borderId="39" xfId="0" applyNumberFormat="1" applyFont="1" applyFill="1" applyBorder="1" applyAlignment="1">
      <alignment horizontal="center" vertical="center" wrapText="1"/>
    </xf>
    <xf numFmtId="166" fontId="2" fillId="8" borderId="43" xfId="0" applyNumberFormat="1" applyFont="1" applyFill="1" applyBorder="1" applyAlignment="1">
      <alignment horizontal="center" vertical="center" wrapText="1"/>
    </xf>
    <xf numFmtId="166" fontId="2" fillId="8" borderId="44" xfId="0" applyNumberFormat="1" applyFont="1" applyFill="1" applyBorder="1" applyAlignment="1">
      <alignment horizontal="center" vertical="center" wrapText="1"/>
    </xf>
    <xf numFmtId="166" fontId="2" fillId="8" borderId="45" xfId="0" applyNumberFormat="1" applyFont="1" applyFill="1" applyBorder="1" applyAlignment="1">
      <alignment horizontal="center" vertical="center" wrapText="1"/>
    </xf>
    <xf numFmtId="0" fontId="2" fillId="2" borderId="59" xfId="0" applyFont="1" applyFill="1" applyBorder="1" applyAlignment="1">
      <alignment horizontal="left" vertical="center" wrapText="1"/>
    </xf>
    <xf numFmtId="171" fontId="6" fillId="11" borderId="48" xfId="0" applyNumberFormat="1" applyFont="1" applyFill="1" applyBorder="1" applyAlignment="1">
      <alignment vertical="center" wrapText="1" readingOrder="1"/>
    </xf>
    <xf numFmtId="3" fontId="2" fillId="11" borderId="49" xfId="0" applyNumberFormat="1" applyFont="1" applyFill="1" applyBorder="1" applyAlignment="1">
      <alignment vertical="center" wrapText="1" readingOrder="1"/>
    </xf>
    <xf numFmtId="49" fontId="2" fillId="2" borderId="97" xfId="0" applyNumberFormat="1" applyFont="1" applyFill="1" applyBorder="1" applyAlignment="1">
      <alignment horizontal="left" vertical="center" wrapText="1"/>
    </xf>
    <xf numFmtId="169" fontId="2" fillId="2" borderId="98" xfId="0" applyNumberFormat="1" applyFont="1" applyFill="1" applyBorder="1" applyAlignment="1">
      <alignment horizontal="center" vertical="center" wrapText="1" readingOrder="1"/>
    </xf>
    <xf numFmtId="0" fontId="2" fillId="2" borderId="59" xfId="0" applyNumberFormat="1" applyFont="1" applyFill="1" applyBorder="1" applyAlignment="1">
      <alignment horizontal="left" vertical="center" wrapText="1"/>
    </xf>
    <xf numFmtId="0" fontId="0" fillId="2" borderId="80" xfId="0" applyFill="1" applyBorder="1">
      <alignment vertical="top" wrapText="1"/>
    </xf>
    <xf numFmtId="0" fontId="20" fillId="0" borderId="0" xfId="0" applyNumberFormat="1" applyFont="1" applyAlignment="1">
      <alignment vertical="top" wrapText="1" readingOrder="1"/>
    </xf>
    <xf numFmtId="49" fontId="21" fillId="14" borderId="99" xfId="0" applyNumberFormat="1" applyFont="1" applyFill="1" applyBorder="1" applyAlignment="1">
      <alignment horizontal="left" vertical="center" wrapText="1" readingOrder="1"/>
    </xf>
    <xf numFmtId="9" fontId="21" fillId="14" borderId="100" xfId="0" applyNumberFormat="1" applyFont="1" applyFill="1" applyBorder="1" applyAlignment="1">
      <alignment horizontal="right" vertical="center" wrapText="1" readingOrder="1"/>
    </xf>
    <xf numFmtId="0" fontId="21" fillId="2" borderId="100" xfId="0" applyFont="1" applyFill="1" applyBorder="1" applyAlignment="1">
      <alignment horizontal="center" vertical="center" wrapText="1" readingOrder="1"/>
    </xf>
    <xf numFmtId="49" fontId="21" fillId="14" borderId="7" xfId="0" applyNumberFormat="1" applyFont="1" applyFill="1" applyBorder="1" applyAlignment="1">
      <alignment horizontal="left" vertical="center" wrapText="1" readingOrder="1"/>
    </xf>
    <xf numFmtId="166" fontId="21" fillId="14" borderId="101" xfId="0" applyNumberFormat="1" applyFont="1" applyFill="1" applyBorder="1" applyAlignment="1">
      <alignment horizontal="right" vertical="center" wrapText="1" readingOrder="1"/>
    </xf>
    <xf numFmtId="4" fontId="21" fillId="2" borderId="102" xfId="0" applyNumberFormat="1" applyFont="1" applyFill="1" applyBorder="1" applyAlignment="1">
      <alignment horizontal="center" vertical="center" wrapText="1" readingOrder="1"/>
    </xf>
    <xf numFmtId="176" fontId="21" fillId="14" borderId="7" xfId="0" applyNumberFormat="1" applyFont="1" applyFill="1" applyBorder="1" applyAlignment="1">
      <alignment horizontal="right" vertical="center" wrapText="1" readingOrder="1"/>
    </xf>
    <xf numFmtId="0" fontId="21" fillId="2" borderId="102" xfId="0" applyFont="1" applyFill="1" applyBorder="1" applyAlignment="1">
      <alignment horizontal="center" vertical="center" wrapText="1" readingOrder="1"/>
    </xf>
    <xf numFmtId="167" fontId="21" fillId="14" borderId="103" xfId="0" applyNumberFormat="1" applyFont="1" applyFill="1" applyBorder="1" applyAlignment="1">
      <alignment horizontal="right" vertical="center" wrapText="1" readingOrder="1"/>
    </xf>
    <xf numFmtId="170" fontId="21" fillId="14" borderId="101" xfId="0" applyNumberFormat="1" applyFont="1" applyFill="1" applyBorder="1" applyAlignment="1">
      <alignment horizontal="right" vertical="center" wrapText="1" readingOrder="1"/>
    </xf>
    <xf numFmtId="49" fontId="21" fillId="15" borderId="7" xfId="0" applyNumberFormat="1" applyFont="1" applyFill="1" applyBorder="1" applyAlignment="1">
      <alignment horizontal="left" vertical="center" wrapText="1" readingOrder="1"/>
    </xf>
    <xf numFmtId="0" fontId="21" fillId="15" borderId="7" xfId="0" applyNumberFormat="1" applyFont="1" applyFill="1" applyBorder="1" applyAlignment="1">
      <alignment horizontal="center" vertical="center" wrapText="1" readingOrder="1"/>
    </xf>
    <xf numFmtId="0" fontId="21" fillId="2" borderId="104" xfId="0" applyFont="1" applyFill="1" applyBorder="1" applyAlignment="1">
      <alignment horizontal="center" vertical="center" wrapText="1" readingOrder="1"/>
    </xf>
    <xf numFmtId="0" fontId="21" fillId="2" borderId="105" xfId="0" applyFont="1" applyFill="1" applyBorder="1" applyAlignment="1">
      <alignment horizontal="center" vertical="center" wrapText="1" readingOrder="1"/>
    </xf>
    <xf numFmtId="0" fontId="21" fillId="2" borderId="106" xfId="0" applyFont="1" applyFill="1" applyBorder="1" applyAlignment="1">
      <alignment horizontal="center" vertical="center" wrapText="1" readingOrder="1"/>
    </xf>
    <xf numFmtId="166" fontId="21" fillId="15" borderId="7" xfId="0" applyNumberFormat="1" applyFont="1" applyFill="1" applyBorder="1" applyAlignment="1">
      <alignment horizontal="center" vertical="center" wrapText="1" readingOrder="1"/>
    </xf>
    <xf numFmtId="0" fontId="21" fillId="15" borderId="107" xfId="0" applyNumberFormat="1" applyFont="1" applyFill="1" applyBorder="1" applyAlignment="1">
      <alignment horizontal="center" vertical="center" wrapText="1" readingOrder="1"/>
    </xf>
    <xf numFmtId="0" fontId="21" fillId="2" borderId="108" xfId="0" applyFont="1" applyFill="1" applyBorder="1" applyAlignment="1">
      <alignment horizontal="center" vertical="center" wrapText="1" readingOrder="1"/>
    </xf>
    <xf numFmtId="0" fontId="21" fillId="2" borderId="109" xfId="0" applyFont="1" applyFill="1" applyBorder="1" applyAlignment="1">
      <alignment horizontal="center" vertical="center" wrapText="1" readingOrder="1"/>
    </xf>
    <xf numFmtId="0" fontId="21" fillId="2" borderId="110" xfId="0" applyFont="1" applyFill="1" applyBorder="1" applyAlignment="1">
      <alignment horizontal="center" vertical="center" wrapText="1" readingOrder="1"/>
    </xf>
    <xf numFmtId="49" fontId="21" fillId="16" borderId="7" xfId="0" applyNumberFormat="1" applyFont="1" applyFill="1" applyBorder="1" applyAlignment="1">
      <alignment horizontal="left" vertical="center" wrapText="1" readingOrder="1"/>
    </xf>
    <xf numFmtId="0" fontId="21" fillId="16" borderId="111" xfId="0" applyNumberFormat="1" applyFont="1" applyFill="1" applyBorder="1" applyAlignment="1">
      <alignment horizontal="center" vertical="center" wrapText="1" readingOrder="1"/>
    </xf>
    <xf numFmtId="49" fontId="22" fillId="17" borderId="112" xfId="0" applyNumberFormat="1" applyFont="1" applyFill="1" applyBorder="1" applyAlignment="1">
      <alignment horizontal="left" vertical="center" wrapText="1" readingOrder="1"/>
    </xf>
    <xf numFmtId="1" fontId="22" fillId="18" borderId="105" xfId="0" applyNumberFormat="1" applyFont="1" applyFill="1" applyBorder="1" applyAlignment="1">
      <alignment horizontal="center" vertical="center" wrapText="1" readingOrder="1"/>
    </xf>
    <xf numFmtId="176" fontId="22" fillId="16" borderId="105" xfId="0" applyNumberFormat="1" applyFont="1" applyFill="1" applyBorder="1" applyAlignment="1">
      <alignment horizontal="center" vertical="center" wrapText="1" readingOrder="1"/>
    </xf>
    <xf numFmtId="176" fontId="22" fillId="16" borderId="106" xfId="0" applyNumberFormat="1" applyFont="1" applyFill="1" applyBorder="1" applyAlignment="1">
      <alignment horizontal="center" vertical="center" wrapText="1" readingOrder="1"/>
    </xf>
    <xf numFmtId="49" fontId="23" fillId="19" borderId="7" xfId="0" applyNumberFormat="1" applyFont="1" applyFill="1" applyBorder="1" applyAlignment="1">
      <alignment horizontal="left" vertical="center" wrapText="1" readingOrder="1"/>
    </xf>
    <xf numFmtId="0" fontId="23" fillId="19" borderId="113" xfId="0" applyFont="1" applyFill="1" applyBorder="1" applyAlignment="1">
      <alignment vertical="center" wrapText="1" readingOrder="1"/>
    </xf>
    <xf numFmtId="0" fontId="23" fillId="19" borderId="114" xfId="0" applyFont="1" applyFill="1" applyBorder="1" applyAlignment="1">
      <alignment vertical="center" wrapText="1" readingOrder="1"/>
    </xf>
    <xf numFmtId="0" fontId="23" fillId="19" borderId="115" xfId="0" applyFont="1" applyFill="1" applyBorder="1" applyAlignment="1">
      <alignment vertical="center" wrapText="1" readingOrder="1"/>
    </xf>
    <xf numFmtId="49" fontId="23" fillId="2" borderId="7" xfId="0" applyNumberFormat="1" applyFont="1" applyFill="1" applyBorder="1" applyAlignment="1">
      <alignment horizontal="left" vertical="center" wrapText="1" readingOrder="1"/>
    </xf>
    <xf numFmtId="170" fontId="24" fillId="2" borderId="116" xfId="0" applyNumberFormat="1" applyFont="1" applyFill="1" applyBorder="1" applyAlignment="1">
      <alignment vertical="center" wrapText="1" readingOrder="1"/>
    </xf>
    <xf numFmtId="170" fontId="24" fillId="2" borderId="117" xfId="0" applyNumberFormat="1" applyFont="1" applyFill="1" applyBorder="1" applyAlignment="1">
      <alignment vertical="center" wrapText="1" readingOrder="1"/>
    </xf>
    <xf numFmtId="170" fontId="24" fillId="2" borderId="118" xfId="0" applyNumberFormat="1" applyFont="1" applyFill="1" applyBorder="1" applyAlignment="1">
      <alignment vertical="center" wrapText="1" readingOrder="1"/>
    </xf>
    <xf numFmtId="0" fontId="23" fillId="19" borderId="116" xfId="0" applyFont="1" applyFill="1" applyBorder="1" applyAlignment="1">
      <alignment vertical="center" wrapText="1" readingOrder="1"/>
    </xf>
    <xf numFmtId="0" fontId="23" fillId="19" borderId="117" xfId="0" applyFont="1" applyFill="1" applyBorder="1" applyAlignment="1">
      <alignment vertical="center" wrapText="1" readingOrder="1"/>
    </xf>
    <xf numFmtId="0" fontId="23" fillId="19" borderId="118" xfId="0" applyFont="1" applyFill="1" applyBorder="1" applyAlignment="1">
      <alignment vertical="center" wrapText="1" readingOrder="1"/>
    </xf>
    <xf numFmtId="49" fontId="23" fillId="2" borderId="103" xfId="0" applyNumberFormat="1" applyFont="1" applyFill="1" applyBorder="1" applyAlignment="1">
      <alignment horizontal="left" vertical="center" wrapText="1" readingOrder="1"/>
    </xf>
    <xf numFmtId="49" fontId="23" fillId="19" borderId="102" xfId="0" applyNumberFormat="1" applyFont="1" applyFill="1" applyBorder="1" applyAlignment="1">
      <alignment horizontal="left" vertical="center" wrapText="1" readingOrder="1"/>
    </xf>
    <xf numFmtId="49" fontId="21" fillId="17" borderId="102" xfId="0" applyNumberFormat="1" applyFont="1" applyFill="1" applyBorder="1" applyAlignment="1">
      <alignment horizontal="left" vertical="center" wrapText="1" readingOrder="1"/>
    </xf>
    <xf numFmtId="170" fontId="24" fillId="20" borderId="116" xfId="0" applyNumberFormat="1" applyFont="1" applyFill="1" applyBorder="1" applyAlignment="1">
      <alignment vertical="center" wrapText="1" readingOrder="1"/>
    </xf>
    <xf numFmtId="170" fontId="24" fillId="20" borderId="117" xfId="0" applyNumberFormat="1" applyFont="1" applyFill="1" applyBorder="1" applyAlignment="1">
      <alignment vertical="center" wrapText="1" readingOrder="1"/>
    </xf>
    <xf numFmtId="170" fontId="24" fillId="20" borderId="118" xfId="0" applyNumberFormat="1" applyFont="1" applyFill="1" applyBorder="1" applyAlignment="1">
      <alignment vertical="center" wrapText="1" readingOrder="1"/>
    </xf>
    <xf numFmtId="49" fontId="21" fillId="17" borderId="101" xfId="0" applyNumberFormat="1" applyFont="1" applyFill="1" applyBorder="1" applyAlignment="1">
      <alignment horizontal="left" vertical="center" wrapText="1" readingOrder="1"/>
    </xf>
    <xf numFmtId="170" fontId="23" fillId="20" borderId="117" xfId="0" applyNumberFormat="1" applyFont="1" applyFill="1" applyBorder="1" applyAlignment="1">
      <alignment vertical="center" wrapText="1" readingOrder="1"/>
    </xf>
    <xf numFmtId="170" fontId="25" fillId="20" borderId="118" xfId="0" applyNumberFormat="1" applyFont="1" applyFill="1" applyBorder="1" applyAlignment="1">
      <alignment vertical="center" wrapText="1" readingOrder="1"/>
    </xf>
    <xf numFmtId="49" fontId="21" fillId="17" borderId="119" xfId="0" applyNumberFormat="1" applyFont="1" applyFill="1" applyBorder="1" applyAlignment="1">
      <alignment horizontal="left" vertical="center" wrapText="1" readingOrder="1"/>
    </xf>
    <xf numFmtId="170" fontId="25" fillId="20" borderId="120" xfId="0" applyNumberFormat="1" applyFont="1" applyFill="1" applyBorder="1" applyAlignment="1">
      <alignment vertical="center" wrapText="1" readingOrder="1"/>
    </xf>
    <xf numFmtId="170" fontId="24" fillId="20" borderId="121" xfId="0" applyNumberFormat="1" applyFont="1" applyFill="1" applyBorder="1" applyAlignment="1">
      <alignment vertical="center" wrapText="1" readingOrder="1"/>
    </xf>
    <xf numFmtId="170" fontId="24" fillId="20" borderId="122" xfId="0" applyNumberFormat="1" applyFont="1" applyFill="1" applyBorder="1" applyAlignment="1">
      <alignment vertical="center" wrapText="1" readingOrder="1"/>
    </xf>
    <xf numFmtId="49" fontId="26" fillId="17" borderId="123" xfId="0" applyNumberFormat="1" applyFont="1" applyFill="1" applyBorder="1" applyAlignment="1">
      <alignment horizontal="left" vertical="center" wrapText="1" readingOrder="1"/>
    </xf>
    <xf numFmtId="170" fontId="20" fillId="20" borderId="124" xfId="0" applyNumberFormat="1" applyFont="1" applyFill="1" applyBorder="1" applyAlignment="1">
      <alignment vertical="center" wrapText="1" readingOrder="1"/>
    </xf>
    <xf numFmtId="170" fontId="20" fillId="20" borderId="125" xfId="0" applyNumberFormat="1" applyFont="1" applyFill="1" applyBorder="1" applyAlignment="1">
      <alignment vertical="center" wrapText="1" readingOrder="1"/>
    </xf>
    <xf numFmtId="49" fontId="28" fillId="17" borderId="123" xfId="0" applyNumberFormat="1" applyFont="1" applyFill="1" applyBorder="1" applyAlignment="1">
      <alignment horizontal="left" vertical="center" wrapText="1" readingOrder="1"/>
    </xf>
    <xf numFmtId="1" fontId="4" fillId="20" borderId="124" xfId="0" applyNumberFormat="1" applyFont="1" applyFill="1" applyBorder="1" applyAlignment="1">
      <alignment vertical="center" wrapText="1" readingOrder="1"/>
    </xf>
    <xf numFmtId="0" fontId="29" fillId="20" borderId="124" xfId="0" applyFont="1" applyFill="1" applyBorder="1" applyAlignment="1">
      <alignment vertical="center" wrapText="1" readingOrder="1"/>
    </xf>
    <xf numFmtId="0" fontId="29" fillId="20" borderId="125" xfId="0" applyFont="1" applyFill="1" applyBorder="1" applyAlignment="1">
      <alignment vertical="center" wrapText="1" readingOrder="1"/>
    </xf>
    <xf numFmtId="10" fontId="4" fillId="20" borderId="124" xfId="0" applyNumberFormat="1" applyFont="1" applyFill="1" applyBorder="1" applyAlignment="1">
      <alignment vertical="center" wrapText="1" readingOrder="1"/>
    </xf>
    <xf numFmtId="49" fontId="3" fillId="2" borderId="25" xfId="0" applyNumberFormat="1" applyFont="1" applyFill="1" applyBorder="1" applyAlignment="1">
      <alignment horizontal="left" vertical="center" wrapText="1"/>
    </xf>
    <xf numFmtId="0" fontId="0" fillId="2" borderId="25" xfId="0" applyFill="1" applyBorder="1">
      <alignment vertical="top" wrapText="1"/>
    </xf>
    <xf numFmtId="0" fontId="2" fillId="2" borderId="7" xfId="0" applyFont="1" applyFill="1" applyBorder="1" applyAlignment="1">
      <alignment horizontal="left" vertical="center" wrapText="1" readingOrder="1"/>
    </xf>
    <xf numFmtId="0" fontId="0" fillId="3" borderId="7" xfId="0" applyFill="1" applyBorder="1">
      <alignment vertical="top" wrapText="1"/>
    </xf>
    <xf numFmtId="0" fontId="6" fillId="3" borderId="7" xfId="0" applyFont="1" applyFill="1" applyBorder="1" applyAlignment="1">
      <alignment vertical="center" wrapText="1" readingOrder="1"/>
    </xf>
    <xf numFmtId="49" fontId="2" fillId="2" borderId="7" xfId="0" applyNumberFormat="1" applyFont="1" applyFill="1" applyBorder="1" applyAlignment="1">
      <alignment horizontal="left" vertical="center" wrapText="1" readingOrder="1"/>
    </xf>
    <xf numFmtId="0" fontId="2" fillId="2" borderId="6" xfId="0" applyFont="1" applyFill="1" applyBorder="1" applyAlignment="1">
      <alignment horizontal="center" vertical="center" wrapText="1" readingOrder="1"/>
    </xf>
    <xf numFmtId="0" fontId="0" fillId="3" borderId="6" xfId="0" applyFill="1" applyBorder="1">
      <alignment vertical="top" wrapText="1"/>
    </xf>
    <xf numFmtId="9" fontId="2" fillId="2" borderId="19" xfId="0" applyNumberFormat="1" applyFont="1" applyFill="1" applyBorder="1" applyAlignment="1">
      <alignment horizontal="center" vertical="center" wrapText="1" readingOrder="1"/>
    </xf>
    <xf numFmtId="0" fontId="0" fillId="3" borderId="19" xfId="0" applyFill="1" applyBorder="1">
      <alignment vertical="top" wrapText="1"/>
    </xf>
    <xf numFmtId="0" fontId="0" fillId="3" borderId="20" xfId="0" applyFill="1" applyBorder="1">
      <alignment vertical="top" wrapText="1"/>
    </xf>
    <xf numFmtId="49" fontId="2" fillId="2" borderId="18" xfId="0" applyNumberFormat="1" applyFont="1" applyFill="1" applyBorder="1" applyAlignment="1">
      <alignment horizontal="center" vertical="center" wrapText="1" readingOrder="1"/>
    </xf>
    <xf numFmtId="0" fontId="5" fillId="7" borderId="18" xfId="0" applyFont="1" applyFill="1" applyBorder="1" applyAlignment="1">
      <alignment horizontal="left" vertical="top" wrapText="1" readingOrder="1"/>
    </xf>
    <xf numFmtId="0" fontId="5" fillId="7" borderId="21" xfId="0" applyFont="1" applyFill="1" applyBorder="1" applyAlignment="1">
      <alignment horizontal="left" vertical="top" wrapText="1" readingOrder="1"/>
    </xf>
    <xf numFmtId="9" fontId="2" fillId="8" borderId="16" xfId="0" applyNumberFormat="1" applyFont="1" applyFill="1" applyBorder="1" applyAlignment="1">
      <alignment horizontal="center" vertical="center" wrapText="1" readingOrder="1"/>
    </xf>
    <xf numFmtId="0" fontId="0" fillId="3" borderId="16" xfId="0" applyFill="1" applyBorder="1">
      <alignment vertical="top" wrapText="1"/>
    </xf>
    <xf numFmtId="0" fontId="0" fillId="3" borderId="17" xfId="0" applyFill="1" applyBorder="1">
      <alignment vertical="top" wrapText="1"/>
    </xf>
    <xf numFmtId="49" fontId="2" fillId="2" borderId="15" xfId="0" applyNumberFormat="1" applyFont="1" applyFill="1" applyBorder="1" applyAlignment="1">
      <alignment horizontal="center" vertical="center" wrapText="1" readingOrder="1"/>
    </xf>
    <xf numFmtId="49" fontId="14" fillId="2" borderId="92" xfId="0" applyNumberFormat="1" applyFont="1" applyFill="1" applyBorder="1" applyAlignment="1">
      <alignment horizontal="left" vertical="top" wrapText="1" readingOrder="1"/>
    </xf>
    <xf numFmtId="0" fontId="0" fillId="0" borderId="88" xfId="0" applyBorder="1">
      <alignment vertical="top" wrapText="1"/>
    </xf>
    <xf numFmtId="0" fontId="0" fillId="0" borderId="89" xfId="0" applyBorder="1">
      <alignment vertical="top" wrapText="1"/>
    </xf>
    <xf numFmtId="49" fontId="14" fillId="0" borderId="92" xfId="0" applyNumberFormat="1" applyFont="1" applyBorder="1" applyAlignment="1">
      <alignment horizontal="left" vertical="top" wrapText="1" readingOrder="1"/>
    </xf>
    <xf numFmtId="49" fontId="0" fillId="0" borderId="93" xfId="0" applyNumberFormat="1" applyBorder="1">
      <alignment vertical="top" wrapText="1"/>
    </xf>
    <xf numFmtId="0" fontId="0" fillId="0" borderId="94" xfId="0" applyBorder="1">
      <alignment vertical="top" wrapText="1"/>
    </xf>
    <xf numFmtId="0" fontId="0" fillId="0" borderId="95" xfId="0" applyBorder="1">
      <alignment vertical="top" wrapText="1"/>
    </xf>
    <xf numFmtId="49" fontId="13" fillId="12" borderId="92" xfId="0" applyNumberFormat="1" applyFont="1" applyFill="1" applyBorder="1">
      <alignment vertical="top" wrapText="1"/>
    </xf>
    <xf numFmtId="49" fontId="15" fillId="13" borderId="92" xfId="0" applyNumberFormat="1" applyFont="1" applyFill="1" applyBorder="1">
      <alignment vertical="top" wrapText="1"/>
    </xf>
    <xf numFmtId="49" fontId="13" fillId="2" borderId="92" xfId="0" applyNumberFormat="1" applyFont="1" applyFill="1" applyBorder="1">
      <alignment vertical="top" wrapText="1"/>
    </xf>
    <xf numFmtId="49" fontId="17" fillId="2" borderId="92" xfId="0" applyNumberFormat="1" applyFont="1" applyFill="1" applyBorder="1">
      <alignment vertical="top" wrapText="1"/>
    </xf>
    <xf numFmtId="0" fontId="1" fillId="0" borderId="0" xfId="0" applyFont="1" applyAlignment="1">
      <alignment horizontal="left" vertical="center"/>
    </xf>
    <xf numFmtId="0" fontId="0" fillId="0" borderId="83" xfId="0" applyBorder="1">
      <alignment vertical="top" wrapText="1"/>
    </xf>
    <xf numFmtId="0" fontId="0" fillId="0" borderId="87" xfId="0" applyBorder="1">
      <alignment vertical="top" wrapText="1"/>
    </xf>
    <xf numFmtId="0" fontId="0" fillId="0" borderId="84" xfId="0" applyBorder="1">
      <alignment vertical="top" wrapText="1"/>
    </xf>
    <xf numFmtId="49" fontId="14" fillId="0" borderId="92" xfId="0" applyNumberFormat="1" applyFont="1" applyBorder="1">
      <alignment vertical="top" wrapText="1"/>
    </xf>
    <xf numFmtId="0" fontId="13" fillId="2" borderId="90" xfId="0" applyFont="1" applyFill="1" applyBorder="1">
      <alignment vertical="top" wrapText="1"/>
    </xf>
    <xf numFmtId="0" fontId="0" fillId="0" borderId="91" xfId="0" applyBorder="1">
      <alignment vertical="top" wrapText="1"/>
    </xf>
    <xf numFmtId="177" fontId="2" fillId="8" borderId="38" xfId="0" applyNumberFormat="1" applyFont="1" applyFill="1" applyBorder="1" applyAlignment="1">
      <alignment horizontal="center" vertical="center" wrapText="1"/>
    </xf>
    <xf numFmtId="49" fontId="14" fillId="2" borderId="92" xfId="0" applyNumberFormat="1" applyFont="1" applyFill="1" applyBorder="1">
      <alignment vertical="top" wrapText="1"/>
    </xf>
  </cellXfs>
  <cellStyles count="1">
    <cellStyle name="Standard" xfId="0" builtinId="0"/>
  </cellStyles>
  <dxfs count="15">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7"/>
        </patternFill>
      </fill>
    </dxf>
    <dxf>
      <font>
        <color rgb="FF000000"/>
      </font>
      <fill>
        <patternFill patternType="solid">
          <fgColor indexed="25"/>
          <bgColor indexed="26"/>
        </patternFill>
      </fill>
    </dxf>
    <dxf>
      <font>
        <color rgb="FF000000"/>
      </font>
      <fill>
        <patternFill patternType="solid">
          <fgColor indexed="25"/>
          <bgColor indexed="27"/>
        </patternFill>
      </fill>
    </dxf>
    <dxf>
      <font>
        <color rgb="FF000000"/>
      </font>
      <fill>
        <patternFill patternType="solid">
          <fgColor indexed="25"/>
          <bgColor indexed="26"/>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EFEFE"/>
      <rgbColor rgb="FF1D300D"/>
      <rgbColor rgb="FF84B4E0"/>
      <rgbColor rgb="FFD5D5D5"/>
      <rgbColor rgb="FF60D836"/>
      <rgbColor rgb="FF3B3D3C"/>
      <rgbColor rgb="FF60D836"/>
      <rgbColor rgb="FF3F3F3F"/>
      <rgbColor rgb="FF3F3F3F"/>
      <rgbColor rgb="FFFF0000"/>
      <rgbColor rgb="FFD9D9D9"/>
      <rgbColor rgb="FFB3B3B3"/>
      <rgbColor rgb="FF7F7F7F"/>
      <rgbColor rgb="FFBFBFBF"/>
      <rgbColor rgb="00000000"/>
      <rgbColor rgb="E5FF9781"/>
      <rgbColor rgb="E5AFE489"/>
      <rgbColor rgb="FFDFE0DF"/>
      <rgbColor rgb="FF0079BF"/>
      <rgbColor rgb="FFFF2600"/>
      <rgbColor rgb="FF929292"/>
      <rgbColor rgb="FFD5D5D5"/>
      <rgbColor rgb="FF5E5E5E"/>
      <rgbColor rgb="FF02336E"/>
      <rgbColor rgb="FF4E8F00"/>
      <rgbColor rgb="FF424242"/>
      <rgbColor rgb="FFFF9300"/>
      <rgbColor rgb="FF3B3D3C"/>
      <rgbColor rgb="FF4D4D4D"/>
      <rgbColor rgb="FF9A9A9A"/>
      <rgbColor rgb="FFE6E6E6"/>
      <rgbColor rgb="FF005392"/>
      <rgbColor rgb="FFFED1CF"/>
      <rgbColor rgb="00D5D5D5"/>
      <rgbColor rgb="FF00A2FF"/>
      <rgbColor rgb="FFC8C8C8"/>
      <rgbColor rgb="FF89847F"/>
      <rgbColor rgb="FFF27100"/>
      <rgbColor rgb="FFF7F7F6"/>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298450</xdr:colOff>
      <xdr:row>0</xdr:row>
      <xdr:rowOff>116867</xdr:rowOff>
    </xdr:from>
    <xdr:to>
      <xdr:col>8</xdr:col>
      <xdr:colOff>22660</xdr:colOff>
      <xdr:row>3</xdr:row>
      <xdr:rowOff>121307</xdr:rowOff>
    </xdr:to>
    <xdr:sp macro="" textlink="">
      <xdr:nvSpPr>
        <xdr:cNvPr id="2" name="Bezeichnung des Projektes: Installation einer 772 kWp-Photovoltaikanlage auf acht Gebäudedächern am Campus Süd der Hochschule Niederrhein…">
          <a:extLst>
            <a:ext uri="{FF2B5EF4-FFF2-40B4-BE49-F238E27FC236}">
              <a16:creationId xmlns:a16="http://schemas.microsoft.com/office/drawing/2014/main" id="{00000000-0008-0000-0000-000002000000}"/>
            </a:ext>
          </a:extLst>
        </xdr:cNvPr>
        <xdr:cNvSpPr txBox="1"/>
      </xdr:nvSpPr>
      <xdr:spPr>
        <a:xfrm>
          <a:off x="298450" y="116867"/>
          <a:ext cx="16894611" cy="5850251"/>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600"/>
            </a:spcBef>
            <a:spcAft>
              <a:spcPts val="0"/>
            </a:spcAft>
            <a:buClrTx/>
            <a:buSzTx/>
            <a:buFontTx/>
            <a:buNone/>
            <a:tabLst/>
            <a:defRPr sz="1500" b="1" i="0" u="none" strike="noStrike" cap="none" spc="0" baseline="0">
              <a:solidFill>
                <a:srgbClr val="0079BF"/>
              </a:solidFill>
              <a:uFillTx/>
              <a:latin typeface="+mn-lt"/>
              <a:ea typeface="+mn-ea"/>
              <a:cs typeface="+mn-cs"/>
              <a:sym typeface="Helvetica Neue"/>
            </a:defRPr>
          </a:pPr>
          <a:r>
            <a:rPr sz="1500" b="1" i="0" u="none" strike="noStrike" cap="none" spc="0" baseline="0">
              <a:solidFill>
                <a:srgbClr val="0079BF"/>
              </a:solidFill>
              <a:uFillTx/>
              <a:latin typeface="+mn-lt"/>
              <a:ea typeface="+mn-ea"/>
              <a:cs typeface="+mn-cs"/>
              <a:sym typeface="Helvetica Neue"/>
            </a:rPr>
            <a:t>Investitionsbewertung nach DIN EN 17463</a:t>
          </a:r>
        </a:p>
        <a:p>
          <a:pPr marL="0" marR="0" indent="0" algn="l" defTabSz="457200" latinLnBrk="0">
            <a:lnSpc>
              <a:spcPct val="100000"/>
            </a:lnSpc>
            <a:spcBef>
              <a:spcPts val="600"/>
            </a:spcBef>
            <a:spcAft>
              <a:spcPts val="0"/>
            </a:spcAft>
            <a:buClrTx/>
            <a:buSzTx/>
            <a:buFontTx/>
            <a:buNone/>
            <a:tabLst/>
            <a:defRPr sz="1500" b="1" i="0" u="none" strike="noStrike" cap="none" spc="0" baseline="0">
              <a:solidFill>
                <a:srgbClr val="000000"/>
              </a:solidFill>
              <a:uFillTx/>
              <a:latin typeface="+mn-lt"/>
              <a:ea typeface="+mn-ea"/>
              <a:cs typeface="+mn-cs"/>
              <a:sym typeface="Helvetica Neue"/>
            </a:defRPr>
          </a:pPr>
          <a:r>
            <a:rPr sz="1500" b="1" i="0" u="none" strike="noStrike" cap="none" spc="0" baseline="0">
              <a:solidFill>
                <a:srgbClr val="000000"/>
              </a:solidFill>
              <a:uFillTx/>
              <a:latin typeface="+mn-lt"/>
              <a:ea typeface="+mn-ea"/>
              <a:cs typeface="+mn-cs"/>
              <a:sym typeface="Helvetica Neue"/>
            </a:rPr>
            <a:t>Bezeichnung des Projektes: </a:t>
          </a:r>
          <a:r>
            <a:rPr sz="1500" b="0" i="0" u="none" strike="noStrike" cap="none" spc="0" baseline="0">
              <a:solidFill>
                <a:srgbClr val="000000"/>
              </a:solidFill>
              <a:uFillTx/>
              <a:latin typeface="+mn-lt"/>
              <a:ea typeface="+mn-ea"/>
              <a:cs typeface="+mn-cs"/>
              <a:sym typeface="Helvetica Neue"/>
            </a:rPr>
            <a:t>Austausch von Pumpen in einem Kühlsystem zur Steigerung der Energieeffizienz</a:t>
          </a:r>
          <a:endParaRPr sz="1500" b="1"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endParaRPr sz="15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r>
            <a:rPr sz="1500" b="1" i="0" u="none" strike="noStrike" cap="none" spc="0" baseline="0">
              <a:solidFill>
                <a:srgbClr val="000000"/>
              </a:solidFill>
              <a:uFillTx/>
              <a:latin typeface="+mn-lt"/>
              <a:ea typeface="+mn-ea"/>
              <a:cs typeface="+mn-cs"/>
              <a:sym typeface="Helvetica Neue"/>
            </a:rPr>
            <a:t>Beschreibung des Projektes</a:t>
          </a:r>
          <a:r>
            <a:rPr sz="1500" b="0" i="0" u="none" strike="noStrike" cap="none" spc="0" baseline="0">
              <a:solidFill>
                <a:srgbClr val="000000"/>
              </a:solidFill>
              <a:uFillTx/>
              <a:latin typeface="+mn-lt"/>
              <a:ea typeface="+mn-ea"/>
              <a:cs typeface="+mn-cs"/>
              <a:sym typeface="Helvetica Neue"/>
            </a:rPr>
            <a:t>:</a:t>
          </a: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r>
            <a:rPr sz="1500" b="0" i="0" u="none" strike="noStrike" cap="none" spc="0" baseline="0">
              <a:solidFill>
                <a:srgbClr val="000000"/>
              </a:solidFill>
              <a:uFillTx/>
              <a:latin typeface="+mn-lt"/>
              <a:ea typeface="+mn-ea"/>
              <a:cs typeface="+mn-cs"/>
              <a:sym typeface="Helvetica Neue"/>
            </a:rPr>
            <a:t>Vorgeschlagen wird, die ins Alter gekommenen in Fabrik 3 verorteten 5 Förderpumpen durch moderne energieeffiziente Pumpen auszutauschen. Die Anschaffungsausgaben belaufen sich anzunehmender Weise auf 12 000 € je Pumpe (Schwankungsbreite: 10 000 € bis 17 000 €). Die Auslegung und Installation des Pumpensystems wird etwa 100 Stunden dauern (Stundensatz: 50 €/h). Kurzzeitig ist mit Produktionsausfällen zu rechnen. Hier geht man von 15 Stunden aus, die mit Kosten in Höhe von 200 €/h veranschlagt werden.</a:t>
          </a: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endParaRPr sz="15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r>
            <a:rPr sz="1500" b="0" i="0" u="none" strike="noStrike" cap="none" spc="0" baseline="0">
              <a:solidFill>
                <a:srgbClr val="000000"/>
              </a:solidFill>
              <a:uFillTx/>
              <a:latin typeface="+mn-lt"/>
              <a:ea typeface="+mn-ea"/>
              <a:cs typeface="+mn-cs"/>
              <a:sym typeface="Helvetica Neue"/>
            </a:rPr>
            <a:t>Techniker haben ermittelt, dass der Stromverbrauch durch den Einsatz der neuen Pumpen um jährlich 150 000 kWh reduziert werden kann (Schwankungsbreite: 100 000 kWh/a bis 175 000 kWh/a). Bei einem derzeitigen spez. Strompreis von 0,18 €/kWh betrüge die Jahreseinsparung daher 27 000 €. Allerdings sind Strompreissteigerungen zu berücksichtigen, die mit 3% pro Jahr (Schwankungsbreite: 1,5% bis 4,5%) geschätzt werden, und damit ein Prozent über der aktuellen Inflationsrate i.H.v. 2 % liegen (Schwankungsbreite: 1,5 % bis 3 %). Nach Austausch der Pumpen ist mit einer Reduktion des Wartungsaufwandes zu rechnen. Hier werden 5 Stunden pro Jahr bei einem Stundensatz von 50 € veranschlagt. </a:t>
          </a: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endParaRPr sz="15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r>
            <a:rPr sz="1500" b="0" i="0" u="none" strike="noStrike" cap="none" spc="0" baseline="0">
              <a:solidFill>
                <a:srgbClr val="000000"/>
              </a:solidFill>
              <a:uFillTx/>
              <a:latin typeface="+mn-lt"/>
              <a:ea typeface="+mn-ea"/>
              <a:cs typeface="+mn-cs"/>
              <a:sym typeface="Helvetica Neue"/>
            </a:rPr>
            <a:t>Als Lebensdauer der Pumpen sind 15 Jahre anzusetzen (Schwankungsbreite: 7,5 bis 20 Jahre). Das Ganze wird mit 80 % Eigenkapital finanziert. Als EK-Zins ist 7,2 % (Schwankungsbreite: 5,5 % zu 8,5 %) und als FK-Zins ist 6,0 % (Schwankungsbreite: 3 % bis 11 %) zugrunde zu legen.</a:t>
          </a: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endParaRPr sz="15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600"/>
            </a:spcBef>
            <a:spcAft>
              <a:spcPts val="0"/>
            </a:spcAft>
            <a:buClrTx/>
            <a:buSzTx/>
            <a:buFontTx/>
            <a:buNone/>
            <a:tabLst/>
            <a:defRPr sz="1500" b="0" i="0" u="none" strike="noStrike" cap="none" spc="0" baseline="0">
              <a:solidFill>
                <a:srgbClr val="000000"/>
              </a:solidFill>
              <a:uFillTx/>
              <a:latin typeface="+mn-lt"/>
              <a:ea typeface="+mn-ea"/>
              <a:cs typeface="+mn-cs"/>
              <a:sym typeface="Helvetica Neue"/>
            </a:defRPr>
          </a:pPr>
          <a:r>
            <a:rPr sz="1500" b="0" i="0" u="none" strike="noStrike" cap="none" spc="0" baseline="0">
              <a:solidFill>
                <a:srgbClr val="000000"/>
              </a:solidFill>
              <a:uFillTx/>
              <a:latin typeface="+mn-lt"/>
              <a:ea typeface="+mn-ea"/>
              <a:cs typeface="+mn-cs"/>
              <a:sym typeface="Helvetica Neue"/>
            </a:rPr>
            <a:t>Die neuen Pumpen sind deutlich leiser als die bisherigen (90 dB =&gt; 65 dB). Die Verschrottung der alten Pumpen würde je Pumpe einen Ertrag von 300 € erbringen. Ein weiterer Vorteil ist, dass die neuen Pumpen etwa 10 m2 weniger Raum benötigen.</a:t>
          </a:r>
        </a:p>
      </xdr:txBody>
    </xdr:sp>
    <xdr:clientData/>
  </xdr:twoCellAnchor>
  <xdr:twoCellAnchor>
    <xdr:from>
      <xdr:col>10</xdr:col>
      <xdr:colOff>939800</xdr:colOff>
      <xdr:row>1</xdr:row>
      <xdr:rowOff>1917700</xdr:rowOff>
    </xdr:from>
    <xdr:to>
      <xdr:col>12</xdr:col>
      <xdr:colOff>1996286</xdr:colOff>
      <xdr:row>1</xdr:row>
      <xdr:rowOff>2333455</xdr:rowOff>
    </xdr:to>
    <xdr:sp macro="" textlink="">
      <xdr:nvSpPr>
        <xdr:cNvPr id="3" name="Ohne Gewähr, Testversion">
          <a:extLst>
            <a:ext uri="{FF2B5EF4-FFF2-40B4-BE49-F238E27FC236}">
              <a16:creationId xmlns:a16="http://schemas.microsoft.com/office/drawing/2014/main" id="{00000000-0008-0000-0000-000003000000}"/>
            </a:ext>
          </a:extLst>
        </xdr:cNvPr>
        <xdr:cNvSpPr txBox="1"/>
      </xdr:nvSpPr>
      <xdr:spPr>
        <a:xfrm>
          <a:off x="20739100" y="2298700"/>
          <a:ext cx="4790286" cy="415755"/>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2000" b="1" i="0" u="none" strike="noStrike" cap="none" spc="0" baseline="0">
              <a:solidFill>
                <a:srgbClr val="FF2600"/>
              </a:solidFill>
              <a:uFillTx/>
              <a:latin typeface="+mn-lt"/>
              <a:ea typeface="+mn-ea"/>
              <a:cs typeface="+mn-cs"/>
              <a:sym typeface="Helvetica Neue"/>
            </a:defRPr>
          </a:pPr>
          <a:r>
            <a:rPr lang="de-DE" sz="2000" b="1" i="0" u="none" strike="noStrike" cap="none" spc="0" baseline="0">
              <a:solidFill>
                <a:srgbClr val="FF2600"/>
              </a:solidFill>
              <a:uFillTx/>
              <a:latin typeface="+mn-lt"/>
              <a:ea typeface="+mn-ea"/>
              <a:cs typeface="+mn-cs"/>
              <a:sym typeface="Helvetica Neue"/>
            </a:rPr>
            <a:t>frei-verfügbare Vorlage o</a:t>
          </a:r>
          <a:r>
            <a:rPr sz="2000" b="1" i="0" u="none" strike="noStrike" cap="none" spc="0" baseline="0">
              <a:solidFill>
                <a:srgbClr val="FF2600"/>
              </a:solidFill>
              <a:uFillTx/>
              <a:latin typeface="+mn-lt"/>
              <a:ea typeface="+mn-ea"/>
              <a:cs typeface="+mn-cs"/>
              <a:sym typeface="Helvetica Neue"/>
            </a:rPr>
            <a:t>hne Gewähr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239477</xdr:rowOff>
    </xdr:from>
    <xdr:to>
      <xdr:col>7</xdr:col>
      <xdr:colOff>920750</xdr:colOff>
      <xdr:row>1</xdr:row>
      <xdr:rowOff>2028488</xdr:rowOff>
    </xdr:to>
    <xdr:sp macro="" textlink="">
      <xdr:nvSpPr>
        <xdr:cNvPr id="5" name="Bezeichnung des Projektes: Installation einer 772 kWp-Photovoltaikanlage auf acht Gebäudedächern am Campus Süd der Hochschule Niederrhein…">
          <a:extLst>
            <a:ext uri="{FF2B5EF4-FFF2-40B4-BE49-F238E27FC236}">
              <a16:creationId xmlns:a16="http://schemas.microsoft.com/office/drawing/2014/main" id="{00000000-0008-0000-0200-000005000000}"/>
            </a:ext>
          </a:extLst>
        </xdr:cNvPr>
        <xdr:cNvSpPr txBox="1"/>
      </xdr:nvSpPr>
      <xdr:spPr>
        <a:xfrm>
          <a:off x="279400" y="239477"/>
          <a:ext cx="15843250" cy="2170012"/>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600"/>
            </a:spcBef>
            <a:spcAft>
              <a:spcPts val="0"/>
            </a:spcAft>
            <a:buClrTx/>
            <a:buSzTx/>
            <a:buFontTx/>
            <a:buNone/>
            <a:tabLst/>
            <a:defRPr sz="1500" b="1" i="0" u="none" strike="noStrike" cap="none" spc="0" baseline="0">
              <a:solidFill>
                <a:srgbClr val="0079BF"/>
              </a:solidFill>
              <a:uFillTx/>
              <a:latin typeface="+mn-lt"/>
              <a:ea typeface="+mn-ea"/>
              <a:cs typeface="+mn-cs"/>
              <a:sym typeface="Helvetica Neue"/>
            </a:defRPr>
          </a:pPr>
          <a:r>
            <a:rPr sz="1500" b="1" i="0" u="none" strike="noStrike" cap="none" spc="0" baseline="0">
              <a:solidFill>
                <a:srgbClr val="0079BF"/>
              </a:solidFill>
              <a:uFillTx/>
              <a:latin typeface="+mn-lt"/>
              <a:ea typeface="+mn-ea"/>
              <a:cs typeface="+mn-cs"/>
              <a:sym typeface="Helvetica Neue"/>
            </a:rPr>
            <a:t>Investitionsbewertung nach DIN EN 17463</a:t>
          </a:r>
        </a:p>
        <a:p>
          <a:pPr marL="0" marR="0" indent="0" algn="l" defTabSz="457200" latinLnBrk="0">
            <a:lnSpc>
              <a:spcPct val="100000"/>
            </a:lnSpc>
            <a:spcBef>
              <a:spcPts val="600"/>
            </a:spcBef>
            <a:spcAft>
              <a:spcPts val="0"/>
            </a:spcAft>
            <a:buClrTx/>
            <a:buSzTx/>
            <a:buFontTx/>
            <a:buNone/>
            <a:tabLst/>
            <a:defRPr sz="1500" b="1" i="0" u="none" strike="noStrike" cap="none" spc="0" baseline="0">
              <a:solidFill>
                <a:srgbClr val="000000"/>
              </a:solidFill>
              <a:uFillTx/>
              <a:latin typeface="+mn-lt"/>
              <a:ea typeface="+mn-ea"/>
              <a:cs typeface="+mn-cs"/>
              <a:sym typeface="Helvetica Neue"/>
            </a:defRPr>
          </a:pPr>
          <a:r>
            <a:rPr sz="1500" b="1" i="0" u="none" strike="noStrike" cap="none" spc="0" baseline="0">
              <a:solidFill>
                <a:srgbClr val="000000"/>
              </a:solidFill>
              <a:uFillTx/>
              <a:latin typeface="+mn-lt"/>
              <a:ea typeface="+mn-ea"/>
              <a:cs typeface="+mn-cs"/>
              <a:sym typeface="Helvetica Neue"/>
            </a:rPr>
            <a:t>Bezeichnung des Projektes: Installation einer 772 kWp-Photovoltaikanlage auf acht Gebäudedächern …</a:t>
          </a:r>
        </a:p>
        <a:p>
          <a:pPr marL="0" marR="0" indent="0" algn="l" defTabSz="457200" latinLnBrk="0">
            <a:lnSpc>
              <a:spcPct val="100000"/>
            </a:lnSpc>
            <a:spcBef>
              <a:spcPts val="600"/>
            </a:spcBef>
            <a:spcAft>
              <a:spcPts val="0"/>
            </a:spcAft>
            <a:buClrTx/>
            <a:buSzTx/>
            <a:buFontTx/>
            <a:buNone/>
            <a:tabLst/>
            <a:defRPr sz="1500" b="1" i="0" u="none" strike="noStrike" cap="none" spc="0" baseline="0">
              <a:solidFill>
                <a:srgbClr val="000000"/>
              </a:solidFill>
              <a:uFillTx/>
              <a:latin typeface="+mn-lt"/>
              <a:ea typeface="+mn-ea"/>
              <a:cs typeface="+mn-cs"/>
              <a:sym typeface="Helvetica Neue"/>
            </a:defRPr>
          </a:pPr>
          <a:endParaRPr sz="1500" b="1"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600"/>
            </a:spcBef>
            <a:spcAft>
              <a:spcPts val="0"/>
            </a:spcAft>
            <a:buClrTx/>
            <a:buSzTx/>
            <a:buFontTx/>
            <a:buNone/>
            <a:tabLst/>
            <a:defRPr sz="1500" b="1" i="0" u="none" strike="noStrike" cap="none" spc="0" baseline="0">
              <a:solidFill>
                <a:srgbClr val="000000"/>
              </a:solidFill>
              <a:uFillTx/>
              <a:latin typeface="+mn-lt"/>
              <a:ea typeface="+mn-ea"/>
              <a:cs typeface="+mn-cs"/>
              <a:sym typeface="Helvetica Neue"/>
            </a:defRPr>
          </a:pPr>
          <a:r>
            <a:rPr sz="1500" b="1" i="0" u="none" strike="noStrike" cap="none" spc="0" baseline="0">
              <a:solidFill>
                <a:srgbClr val="000000"/>
              </a:solidFill>
              <a:uFillTx/>
              <a:latin typeface="+mn-lt"/>
              <a:ea typeface="+mn-ea"/>
              <a:cs typeface="+mn-cs"/>
              <a:sym typeface="Helvetica Neue"/>
            </a:rPr>
            <a:t>Beschreibung des Projektes</a:t>
          </a:r>
          <a:r>
            <a:rPr sz="1500" b="0" i="0" u="none" strike="noStrike" cap="none" spc="0" baseline="0">
              <a:solidFill>
                <a:srgbClr val="000000"/>
              </a:solidFill>
              <a:uFillTx/>
              <a:latin typeface="+mn-lt"/>
              <a:ea typeface="+mn-ea"/>
              <a:cs typeface="+mn-cs"/>
              <a:sym typeface="Helvetica Neue"/>
            </a:rPr>
            <a:t>: Im Rahmen eines … wurde im Jahr 2019 untersucht, ob und inwieweit eine größere Photovoltaikanlage (ohne Stromspeicher) auf … eine wirtschaftlich vorteilhafte Investition für … wäre, die über die wirtschaftliche Sinnhaftigkeit hinaus auch einen Beitrag zum Klimaschutz leisten würde, indem sie konventionellen Stromverbrauch durch regenerativen ersetzt. Hierzu ist ein Projektbericht sowie eine Präsentations-Folienserie erarbeitet worden, in der auch die genaue Aufgabenstellung des Projektes dargestellt ist. Wesentliche Parameter sind in der u.a. Tabelle 1 dargestellt. Die Berechnungen und Berechnungsergebnisse sind den Tabellen 2 bis 4 zu entnehmen.</a:t>
          </a:r>
        </a:p>
      </xdr:txBody>
    </xdr:sp>
    <xdr:clientData/>
  </xdr:twoCellAnchor>
  <xdr:twoCellAnchor>
    <xdr:from>
      <xdr:col>9</xdr:col>
      <xdr:colOff>381000</xdr:colOff>
      <xdr:row>1</xdr:row>
      <xdr:rowOff>863600</xdr:rowOff>
    </xdr:from>
    <xdr:to>
      <xdr:col>11</xdr:col>
      <xdr:colOff>1691793</xdr:colOff>
      <xdr:row>1</xdr:row>
      <xdr:rowOff>1279355</xdr:rowOff>
    </xdr:to>
    <xdr:sp macro="" textlink="">
      <xdr:nvSpPr>
        <xdr:cNvPr id="6" name="Ohne Gewähr, Testversion">
          <a:extLst>
            <a:ext uri="{FF2B5EF4-FFF2-40B4-BE49-F238E27FC236}">
              <a16:creationId xmlns:a16="http://schemas.microsoft.com/office/drawing/2014/main" id="{00000000-0008-0000-0200-000006000000}"/>
            </a:ext>
          </a:extLst>
        </xdr:cNvPr>
        <xdr:cNvSpPr txBox="1"/>
      </xdr:nvSpPr>
      <xdr:spPr>
        <a:xfrm>
          <a:off x="17487900" y="1244600"/>
          <a:ext cx="4638193" cy="415755"/>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2000" b="1" i="0" u="none" strike="noStrike" cap="none" spc="0" baseline="0">
              <a:solidFill>
                <a:srgbClr val="FF2600"/>
              </a:solidFill>
              <a:uFillTx/>
              <a:latin typeface="+mn-lt"/>
              <a:ea typeface="+mn-ea"/>
              <a:cs typeface="+mn-cs"/>
              <a:sym typeface="Helvetica Neue"/>
            </a:defRPr>
          </a:pPr>
          <a:r>
            <a:rPr lang="de-DE" sz="2000" b="1" i="0" u="none" strike="noStrike" cap="none" spc="0" baseline="0">
              <a:solidFill>
                <a:srgbClr val="FF2600"/>
              </a:solidFill>
              <a:uFillTx/>
              <a:latin typeface="+mn-lt"/>
              <a:ea typeface="+mn-ea"/>
              <a:cs typeface="+mn-cs"/>
              <a:sym typeface="Helvetica Neue"/>
            </a:rPr>
            <a:t>frei-verfügbare Vorlage ohne Gewähr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406400</xdr:colOff>
      <xdr:row>2</xdr:row>
      <xdr:rowOff>352660</xdr:rowOff>
    </xdr:from>
    <xdr:to>
      <xdr:col>8</xdr:col>
      <xdr:colOff>637693</xdr:colOff>
      <xdr:row>3</xdr:row>
      <xdr:rowOff>209615</xdr:rowOff>
    </xdr:to>
    <xdr:sp macro="" textlink="">
      <xdr:nvSpPr>
        <xdr:cNvPr id="8" name="Ohne Gewähr, Testversion">
          <a:extLst>
            <a:ext uri="{FF2B5EF4-FFF2-40B4-BE49-F238E27FC236}">
              <a16:creationId xmlns:a16="http://schemas.microsoft.com/office/drawing/2014/main" id="{00000000-0008-0000-0300-000008000000}"/>
            </a:ext>
          </a:extLst>
        </xdr:cNvPr>
        <xdr:cNvSpPr txBox="1"/>
      </xdr:nvSpPr>
      <xdr:spPr>
        <a:xfrm>
          <a:off x="12153900" y="2384660"/>
          <a:ext cx="4638193" cy="415755"/>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2000" b="1" i="0" u="none" strike="noStrike" cap="none" spc="0" baseline="0">
              <a:solidFill>
                <a:srgbClr val="FF2600"/>
              </a:solidFill>
              <a:uFillTx/>
              <a:latin typeface="+mn-lt"/>
              <a:ea typeface="+mn-ea"/>
              <a:cs typeface="+mn-cs"/>
              <a:sym typeface="Helvetica Neue"/>
            </a:defRPr>
          </a:pPr>
          <a:r>
            <a:rPr lang="de-DE" sz="2000" b="1" i="0" u="none" strike="noStrike" cap="none" spc="0" baseline="0">
              <a:solidFill>
                <a:srgbClr val="FF2600"/>
              </a:solidFill>
              <a:uFillTx/>
              <a:latin typeface="+mn-lt"/>
              <a:ea typeface="+mn-ea"/>
              <a:cs typeface="+mn-cs"/>
              <a:sym typeface="Helvetica Neue"/>
            </a:rPr>
            <a:t>frei-verfügbare Vorlage ohne Gewähr</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4"/>
  <sheetViews>
    <sheetView showGridLines="0" tabSelected="1" topLeftCell="A8" zoomScale="150" workbookViewId="0">
      <selection activeCell="C27" sqref="C27"/>
    </sheetView>
  </sheetViews>
  <sheetFormatPr baseColWidth="10" defaultColWidth="45" defaultRowHeight="17" customHeight="1" x14ac:dyDescent="0.15"/>
  <cols>
    <col min="1" max="1" width="4.1640625" style="1" customWidth="1"/>
    <col min="2" max="2" width="56" style="1" customWidth="1"/>
    <col min="3" max="3" width="47.6640625" style="1" customWidth="1"/>
    <col min="4" max="4" width="32.5" style="1" customWidth="1"/>
    <col min="5" max="5" width="26.5" style="1" customWidth="1"/>
    <col min="6" max="6" width="20.33203125" style="1" customWidth="1"/>
    <col min="7" max="7" width="23.6640625" style="1" customWidth="1"/>
    <col min="8" max="8" width="14.5" style="1" customWidth="1"/>
    <col min="9" max="9" width="12.6640625" style="1" customWidth="1"/>
    <col min="10" max="11" width="21.83203125" style="1" customWidth="1"/>
    <col min="12" max="12" width="27.1640625" style="1" customWidth="1"/>
    <col min="13" max="13" width="28.5" style="1" customWidth="1"/>
    <col min="14" max="14" width="16.5" style="1" customWidth="1"/>
    <col min="15" max="15" width="15.6640625" style="1" customWidth="1"/>
    <col min="16" max="16" width="25.83203125" style="1" customWidth="1"/>
    <col min="17" max="17" width="20.5" style="1" customWidth="1"/>
    <col min="18" max="18" width="27.33203125" style="1" customWidth="1"/>
    <col min="19" max="29" width="9.83203125" style="1" customWidth="1"/>
    <col min="30" max="30" width="45" style="1" customWidth="1"/>
    <col min="31" max="16384" width="45" style="1"/>
  </cols>
  <sheetData>
    <row r="1" spans="1:29" ht="30" customHeight="1" x14ac:dyDescent="0.15"/>
    <row r="2" spans="1:29" ht="409.5" customHeight="1" x14ac:dyDescent="0.15">
      <c r="A2" s="2"/>
      <c r="B2" s="3"/>
      <c r="C2" s="3"/>
      <c r="D2" s="3"/>
      <c r="E2" s="3"/>
      <c r="F2" s="3"/>
      <c r="G2" s="3"/>
      <c r="H2" s="3"/>
      <c r="I2" s="4"/>
      <c r="J2" s="4"/>
      <c r="K2" s="4"/>
      <c r="L2" s="4"/>
      <c r="M2" s="4"/>
      <c r="N2" s="4"/>
      <c r="O2" s="4"/>
      <c r="P2" s="4"/>
      <c r="Q2" s="4"/>
      <c r="R2" s="4"/>
      <c r="S2" s="4"/>
      <c r="T2" s="4"/>
      <c r="U2" s="4"/>
      <c r="V2" s="4"/>
      <c r="W2" s="4"/>
      <c r="X2" s="4"/>
      <c r="Y2" s="4"/>
      <c r="Z2" s="4"/>
      <c r="AA2" s="4"/>
      <c r="AB2" s="4"/>
      <c r="AC2" s="5"/>
    </row>
    <row r="3" spans="1:29" ht="20.5" customHeight="1" x14ac:dyDescent="0.15">
      <c r="A3" s="6"/>
      <c r="B3" s="7"/>
      <c r="C3" s="7"/>
      <c r="D3" s="8"/>
      <c r="E3" s="326"/>
      <c r="F3" s="327"/>
      <c r="G3" s="327"/>
      <c r="H3" s="327"/>
      <c r="I3" s="9"/>
      <c r="J3" s="9"/>
      <c r="K3" s="9"/>
      <c r="L3" s="9"/>
      <c r="M3" s="9"/>
      <c r="N3" s="9"/>
      <c r="O3" s="9"/>
      <c r="P3" s="9"/>
      <c r="Q3" s="9"/>
      <c r="R3" s="9"/>
      <c r="S3" s="9"/>
      <c r="T3" s="9"/>
      <c r="U3" s="9"/>
      <c r="V3" s="9"/>
      <c r="W3" s="9"/>
      <c r="X3" s="9"/>
      <c r="Y3" s="9"/>
      <c r="Z3" s="9"/>
      <c r="AA3" s="9"/>
      <c r="AB3" s="9"/>
      <c r="AC3" s="10"/>
    </row>
    <row r="4" spans="1:29" ht="19.5" customHeight="1" x14ac:dyDescent="0.15">
      <c r="A4" s="6"/>
      <c r="B4" s="11" t="s">
        <v>0</v>
      </c>
      <c r="C4" s="12"/>
      <c r="D4" s="9"/>
      <c r="E4" s="9"/>
      <c r="F4" s="9"/>
      <c r="G4" s="9"/>
      <c r="H4" s="9"/>
      <c r="I4" s="9"/>
      <c r="J4" s="9"/>
      <c r="K4" s="9"/>
      <c r="L4" s="9"/>
      <c r="M4" s="9"/>
      <c r="N4" s="9"/>
      <c r="O4" s="9"/>
      <c r="P4" s="9"/>
      <c r="Q4" s="9"/>
      <c r="R4" s="9"/>
      <c r="S4" s="9"/>
      <c r="T4" s="9"/>
      <c r="U4" s="9"/>
      <c r="V4" s="9"/>
      <c r="W4" s="9"/>
      <c r="X4" s="9"/>
      <c r="Y4" s="9"/>
      <c r="Z4" s="9"/>
      <c r="AA4" s="9"/>
      <c r="AB4" s="9"/>
      <c r="AC4" s="10"/>
    </row>
    <row r="5" spans="1:29" ht="20.5" customHeight="1" x14ac:dyDescent="0.15">
      <c r="A5" s="6"/>
      <c r="B5" s="13" t="s">
        <v>1</v>
      </c>
      <c r="C5" s="14" t="s">
        <v>2</v>
      </c>
      <c r="D5" s="15"/>
      <c r="E5" s="15"/>
      <c r="F5" s="15"/>
      <c r="G5" s="15"/>
      <c r="H5" s="15"/>
      <c r="I5" s="15"/>
      <c r="J5" s="15"/>
      <c r="K5" s="15"/>
      <c r="L5" s="15"/>
      <c r="M5" s="15"/>
      <c r="N5" s="9"/>
      <c r="O5" s="9"/>
      <c r="P5" s="9"/>
      <c r="Q5" s="9"/>
      <c r="R5" s="9"/>
      <c r="S5" s="9"/>
      <c r="T5" s="9"/>
      <c r="U5" s="9"/>
      <c r="V5" s="9"/>
      <c r="W5" s="9"/>
      <c r="X5" s="9"/>
      <c r="Y5" s="9"/>
      <c r="Z5" s="9"/>
      <c r="AA5" s="9"/>
      <c r="AB5" s="9"/>
      <c r="AC5" s="10"/>
    </row>
    <row r="6" spans="1:29" ht="57" customHeight="1" x14ac:dyDescent="0.15">
      <c r="A6" s="16"/>
      <c r="B6" s="17" t="s">
        <v>3</v>
      </c>
      <c r="C6" s="18"/>
      <c r="D6" s="19" t="s">
        <v>4</v>
      </c>
      <c r="E6" s="19" t="s">
        <v>5</v>
      </c>
      <c r="F6" s="19" t="s">
        <v>6</v>
      </c>
      <c r="G6" s="19" t="s">
        <v>7</v>
      </c>
      <c r="H6" s="19" t="s">
        <v>5</v>
      </c>
      <c r="I6" s="19" t="s">
        <v>8</v>
      </c>
      <c r="J6" s="19" t="s">
        <v>9</v>
      </c>
      <c r="K6" s="19" t="s">
        <v>10</v>
      </c>
      <c r="L6" s="19" t="s">
        <v>11</v>
      </c>
      <c r="M6" s="20" t="s">
        <v>12</v>
      </c>
      <c r="N6" s="21"/>
      <c r="O6" s="22"/>
      <c r="P6" s="22"/>
      <c r="Q6" s="22"/>
      <c r="R6" s="22"/>
      <c r="S6" s="22"/>
      <c r="T6" s="22"/>
      <c r="U6" s="22"/>
      <c r="V6" s="22"/>
      <c r="W6" s="22"/>
      <c r="X6" s="22"/>
      <c r="Y6" s="22"/>
      <c r="Z6" s="22"/>
      <c r="AA6" s="22"/>
      <c r="AB6" s="22"/>
      <c r="AC6" s="23"/>
    </row>
    <row r="7" spans="1:29" ht="39" customHeight="1" x14ac:dyDescent="0.15">
      <c r="A7" s="24"/>
      <c r="B7" s="25" t="s">
        <v>13</v>
      </c>
      <c r="C7" s="26" t="s">
        <v>14</v>
      </c>
      <c r="D7" s="27">
        <v>10</v>
      </c>
      <c r="E7" s="28" t="s">
        <v>15</v>
      </c>
      <c r="F7" s="28" t="s">
        <v>16</v>
      </c>
      <c r="G7" s="29">
        <v>1000</v>
      </c>
      <c r="H7" s="26" t="str">
        <f>"€/ "&amp;E7</f>
        <v>€/ Stk.</v>
      </c>
      <c r="I7" s="30">
        <f>IF(F7="ja",D7*G7,"-")</f>
        <v>10000</v>
      </c>
      <c r="J7" s="26" t="s">
        <v>17</v>
      </c>
      <c r="K7" s="28" t="s">
        <v>18</v>
      </c>
      <c r="L7" s="28" t="s">
        <v>18</v>
      </c>
      <c r="M7" s="31" t="s">
        <v>16</v>
      </c>
      <c r="N7" s="32"/>
      <c r="O7" s="9"/>
      <c r="P7" s="9"/>
      <c r="Q7" s="9"/>
      <c r="R7" s="9"/>
      <c r="S7" s="9"/>
      <c r="T7" s="9"/>
      <c r="U7" s="9"/>
      <c r="V7" s="9"/>
      <c r="W7" s="9"/>
      <c r="X7" s="9"/>
      <c r="Y7" s="9"/>
      <c r="Z7" s="9"/>
      <c r="AA7" s="9"/>
      <c r="AB7" s="9"/>
      <c r="AC7" s="10"/>
    </row>
    <row r="8" spans="1:29" ht="19.5" customHeight="1" x14ac:dyDescent="0.15">
      <c r="A8" s="24"/>
      <c r="B8" s="337" t="s">
        <v>19</v>
      </c>
      <c r="C8" s="33" t="s">
        <v>20</v>
      </c>
      <c r="D8" s="34">
        <v>5</v>
      </c>
      <c r="E8" s="35" t="s">
        <v>15</v>
      </c>
      <c r="F8" s="35" t="s">
        <v>16</v>
      </c>
      <c r="G8" s="36">
        <v>12000</v>
      </c>
      <c r="H8" s="37" t="str">
        <f t="shared" ref="H8:H15" si="0">"€ pro "&amp;E8</f>
        <v>€ pro Stk.</v>
      </c>
      <c r="I8" s="38">
        <f>IF(F8="nein","",D8*G8)</f>
        <v>60000</v>
      </c>
      <c r="J8" s="35" t="s">
        <v>21</v>
      </c>
      <c r="K8" s="35" t="s">
        <v>22</v>
      </c>
      <c r="L8" s="35" t="s">
        <v>23</v>
      </c>
      <c r="M8" s="39" t="s">
        <v>16</v>
      </c>
      <c r="N8" s="32"/>
      <c r="O8" s="9"/>
      <c r="P8" s="9"/>
      <c r="Q8" s="9"/>
      <c r="R8" s="9"/>
      <c r="S8" s="9"/>
      <c r="T8" s="9"/>
      <c r="U8" s="9"/>
      <c r="V8" s="9"/>
      <c r="W8" s="9"/>
      <c r="X8" s="9"/>
      <c r="Y8" s="9"/>
      <c r="Z8" s="9"/>
      <c r="AA8" s="9"/>
      <c r="AB8" s="9"/>
      <c r="AC8" s="10"/>
    </row>
    <row r="9" spans="1:29" ht="24.25" customHeight="1" x14ac:dyDescent="0.15">
      <c r="A9" s="24"/>
      <c r="B9" s="332"/>
      <c r="C9" s="40" t="s">
        <v>24</v>
      </c>
      <c r="D9" s="41">
        <v>100</v>
      </c>
      <c r="E9" s="42" t="s">
        <v>25</v>
      </c>
      <c r="F9" s="42" t="s">
        <v>16</v>
      </c>
      <c r="G9" s="43">
        <v>50</v>
      </c>
      <c r="H9" s="44" t="str">
        <f t="shared" si="0"/>
        <v>€ pro h</v>
      </c>
      <c r="I9" s="45">
        <f>IF(F9="nein","",D9*G9)</f>
        <v>5000</v>
      </c>
      <c r="J9" s="42" t="s">
        <v>21</v>
      </c>
      <c r="K9" s="42" t="s">
        <v>22</v>
      </c>
      <c r="L9" s="42" t="s">
        <v>23</v>
      </c>
      <c r="M9" s="46" t="s">
        <v>16</v>
      </c>
      <c r="N9" s="32"/>
      <c r="O9" s="9"/>
      <c r="P9" s="9"/>
      <c r="Q9" s="9"/>
      <c r="R9" s="9"/>
      <c r="S9" s="9"/>
      <c r="T9" s="9"/>
      <c r="U9" s="9"/>
      <c r="V9" s="9"/>
      <c r="W9" s="9"/>
      <c r="X9" s="9"/>
      <c r="Y9" s="9"/>
      <c r="Z9" s="9"/>
      <c r="AA9" s="9"/>
      <c r="AB9" s="9"/>
      <c r="AC9" s="10"/>
    </row>
    <row r="10" spans="1:29" ht="20.5" customHeight="1" x14ac:dyDescent="0.15">
      <c r="A10" s="24"/>
      <c r="B10" s="332"/>
      <c r="C10" s="40" t="s">
        <v>26</v>
      </c>
      <c r="D10" s="41">
        <v>15</v>
      </c>
      <c r="E10" s="42" t="s">
        <v>25</v>
      </c>
      <c r="F10" s="42" t="s">
        <v>16</v>
      </c>
      <c r="G10" s="43">
        <v>200</v>
      </c>
      <c r="H10" s="44" t="str">
        <f t="shared" si="0"/>
        <v>€ pro h</v>
      </c>
      <c r="I10" s="45">
        <f>G10*D10</f>
        <v>3000</v>
      </c>
      <c r="J10" s="42" t="s">
        <v>21</v>
      </c>
      <c r="K10" s="42" t="s">
        <v>22</v>
      </c>
      <c r="L10" s="42" t="s">
        <v>23</v>
      </c>
      <c r="M10" s="46" t="s">
        <v>16</v>
      </c>
      <c r="N10" s="32"/>
      <c r="O10" s="9"/>
      <c r="P10" s="9"/>
      <c r="Q10" s="9"/>
      <c r="R10" s="9"/>
      <c r="S10" s="9"/>
      <c r="T10" s="9"/>
      <c r="U10" s="9"/>
      <c r="V10" s="9"/>
      <c r="W10" s="9"/>
      <c r="X10" s="9"/>
      <c r="Y10" s="9"/>
      <c r="Z10" s="9"/>
      <c r="AA10" s="9"/>
      <c r="AB10" s="9"/>
      <c r="AC10" s="10"/>
    </row>
    <row r="11" spans="1:29" ht="20.5" customHeight="1" x14ac:dyDescent="0.15">
      <c r="A11" s="24"/>
      <c r="B11" s="332"/>
      <c r="C11" s="40" t="s">
        <v>27</v>
      </c>
      <c r="D11" s="41">
        <v>150000</v>
      </c>
      <c r="E11" s="42" t="s">
        <v>28</v>
      </c>
      <c r="F11" s="42" t="s">
        <v>16</v>
      </c>
      <c r="G11" s="47">
        <v>0.18</v>
      </c>
      <c r="H11" s="44" t="str">
        <f t="shared" si="0"/>
        <v>€ pro kWh/a</v>
      </c>
      <c r="I11" s="45">
        <f>IF(F11="nein","",D11*G11)</f>
        <v>27000</v>
      </c>
      <c r="J11" s="42" t="s">
        <v>29</v>
      </c>
      <c r="K11" s="42" t="s">
        <v>30</v>
      </c>
      <c r="L11" s="42" t="s">
        <v>31</v>
      </c>
      <c r="M11" s="46" t="s">
        <v>16</v>
      </c>
      <c r="N11" s="32"/>
      <c r="O11" s="9"/>
      <c r="P11" s="9"/>
      <c r="Q11" s="9"/>
      <c r="R11" s="9"/>
      <c r="S11" s="9"/>
      <c r="T11" s="9"/>
      <c r="U11" s="9"/>
      <c r="V11" s="9"/>
      <c r="W11" s="9"/>
      <c r="X11" s="9"/>
      <c r="Y11" s="9"/>
      <c r="Z11" s="9"/>
      <c r="AA11" s="9"/>
      <c r="AB11" s="9"/>
      <c r="AC11" s="10"/>
    </row>
    <row r="12" spans="1:29" ht="20.5" customHeight="1" x14ac:dyDescent="0.15">
      <c r="A12" s="24"/>
      <c r="B12" s="331" t="s">
        <v>32</v>
      </c>
      <c r="C12" s="40" t="s">
        <v>33</v>
      </c>
      <c r="D12" s="41">
        <v>5</v>
      </c>
      <c r="E12" s="42" t="s">
        <v>34</v>
      </c>
      <c r="F12" s="42" t="s">
        <v>16</v>
      </c>
      <c r="G12" s="43">
        <v>50</v>
      </c>
      <c r="H12" s="44" t="str">
        <f t="shared" si="0"/>
        <v>€ pro h/a</v>
      </c>
      <c r="I12" s="45">
        <f>IF(F12="nein","",D12*G12)</f>
        <v>250</v>
      </c>
      <c r="J12" s="42" t="s">
        <v>29</v>
      </c>
      <c r="K12" s="42" t="s">
        <v>35</v>
      </c>
      <c r="L12" s="42" t="s">
        <v>23</v>
      </c>
      <c r="M12" s="46" t="s">
        <v>16</v>
      </c>
      <c r="N12" s="32"/>
      <c r="O12" s="9"/>
      <c r="P12" s="9"/>
      <c r="Q12" s="9"/>
      <c r="R12" s="9"/>
      <c r="S12" s="9"/>
      <c r="T12" s="9"/>
      <c r="U12" s="9"/>
      <c r="V12" s="9"/>
      <c r="W12" s="9"/>
      <c r="X12" s="9"/>
      <c r="Y12" s="9"/>
      <c r="Z12" s="9"/>
      <c r="AA12" s="9"/>
      <c r="AB12" s="9"/>
      <c r="AC12" s="10"/>
    </row>
    <row r="13" spans="1:29" ht="20.5" customHeight="1" x14ac:dyDescent="0.15">
      <c r="A13" s="24"/>
      <c r="B13" s="332"/>
      <c r="C13" s="40" t="s">
        <v>36</v>
      </c>
      <c r="D13" s="41">
        <v>-25</v>
      </c>
      <c r="E13" s="42" t="s">
        <v>37</v>
      </c>
      <c r="F13" s="42" t="s">
        <v>38</v>
      </c>
      <c r="G13" s="48" t="s">
        <v>18</v>
      </c>
      <c r="H13" s="44" t="str">
        <f t="shared" si="0"/>
        <v>€ pro dB</v>
      </c>
      <c r="I13" s="49" t="str">
        <f>IF(F13="nein","",D13*G13)</f>
        <v/>
      </c>
      <c r="J13" s="42" t="s">
        <v>29</v>
      </c>
      <c r="K13" s="42" t="s">
        <v>22</v>
      </c>
      <c r="L13" s="42" t="s">
        <v>23</v>
      </c>
      <c r="M13" s="46" t="s">
        <v>16</v>
      </c>
      <c r="N13" s="32"/>
      <c r="O13" s="9"/>
      <c r="P13" s="9"/>
      <c r="Q13" s="9"/>
      <c r="R13" s="9"/>
      <c r="S13" s="9"/>
      <c r="T13" s="9"/>
      <c r="U13" s="9"/>
      <c r="V13" s="9"/>
      <c r="W13" s="9"/>
      <c r="X13" s="9"/>
      <c r="Y13" s="9"/>
      <c r="Z13" s="9"/>
      <c r="AA13" s="9"/>
      <c r="AB13" s="9"/>
      <c r="AC13" s="10"/>
    </row>
    <row r="14" spans="1:29" ht="20.5" customHeight="1" x14ac:dyDescent="0.15">
      <c r="A14" s="24"/>
      <c r="B14" s="332"/>
      <c r="C14" s="40" t="s">
        <v>39</v>
      </c>
      <c r="D14" s="41">
        <v>5</v>
      </c>
      <c r="E14" s="42" t="s">
        <v>15</v>
      </c>
      <c r="F14" s="42" t="s">
        <v>16</v>
      </c>
      <c r="G14" s="43">
        <v>300</v>
      </c>
      <c r="H14" s="44" t="str">
        <f t="shared" si="0"/>
        <v>€ pro Stk.</v>
      </c>
      <c r="I14" s="50">
        <f>IF(F14="nein","",D14*G14)</f>
        <v>1500</v>
      </c>
      <c r="J14" s="42" t="s">
        <v>21</v>
      </c>
      <c r="K14" s="42" t="s">
        <v>22</v>
      </c>
      <c r="L14" s="42" t="s">
        <v>23</v>
      </c>
      <c r="M14" s="46" t="s">
        <v>16</v>
      </c>
      <c r="N14" s="32"/>
      <c r="O14" s="9"/>
      <c r="P14" s="9"/>
      <c r="Q14" s="9"/>
      <c r="R14" s="9"/>
      <c r="S14" s="9"/>
      <c r="T14" s="9"/>
      <c r="U14" s="9"/>
      <c r="V14" s="9"/>
      <c r="W14" s="9"/>
      <c r="X14" s="9"/>
      <c r="Y14" s="9"/>
      <c r="Z14" s="9"/>
      <c r="AA14" s="9"/>
      <c r="AB14" s="9"/>
      <c r="AC14" s="10"/>
    </row>
    <row r="15" spans="1:29" ht="20.5" customHeight="1" x14ac:dyDescent="0.15">
      <c r="A15" s="24"/>
      <c r="B15" s="333"/>
      <c r="C15" s="51" t="s">
        <v>40</v>
      </c>
      <c r="D15" s="52">
        <v>10</v>
      </c>
      <c r="E15" s="53" t="s">
        <v>41</v>
      </c>
      <c r="F15" s="53" t="s">
        <v>38</v>
      </c>
      <c r="G15" s="54" t="s">
        <v>18</v>
      </c>
      <c r="H15" s="55" t="str">
        <f t="shared" si="0"/>
        <v>€ pro m2</v>
      </c>
      <c r="I15" s="56" t="str">
        <f>IF(F15="nein","",D15*G15)</f>
        <v/>
      </c>
      <c r="J15" s="53" t="s">
        <v>29</v>
      </c>
      <c r="K15" s="53" t="s">
        <v>22</v>
      </c>
      <c r="L15" s="53" t="s">
        <v>23</v>
      </c>
      <c r="M15" s="57" t="s">
        <v>16</v>
      </c>
      <c r="N15" s="32"/>
      <c r="O15" s="9"/>
      <c r="P15" s="9"/>
      <c r="Q15" s="9"/>
      <c r="R15" s="9"/>
      <c r="S15" s="9"/>
      <c r="T15" s="9"/>
      <c r="U15" s="9"/>
      <c r="V15" s="9"/>
      <c r="W15" s="9"/>
      <c r="X15" s="9"/>
      <c r="Y15" s="9"/>
      <c r="Z15" s="9"/>
      <c r="AA15" s="9"/>
      <c r="AB15" s="9"/>
      <c r="AC15" s="10"/>
    </row>
    <row r="16" spans="1:29" ht="24.5" customHeight="1" x14ac:dyDescent="0.15">
      <c r="A16" s="6"/>
      <c r="B16" s="58"/>
      <c r="C16" s="59"/>
      <c r="D16" s="60"/>
      <c r="E16" s="60"/>
      <c r="F16" s="60"/>
      <c r="G16" s="60"/>
      <c r="H16" s="60"/>
      <c r="I16" s="60"/>
      <c r="J16" s="60"/>
      <c r="K16" s="60"/>
      <c r="L16" s="60"/>
      <c r="M16" s="60"/>
      <c r="N16" s="9"/>
      <c r="O16" s="9"/>
      <c r="P16" s="9"/>
      <c r="Q16" s="9"/>
      <c r="R16" s="9"/>
      <c r="S16" s="9"/>
      <c r="T16" s="9"/>
      <c r="U16" s="9"/>
      <c r="V16" s="9"/>
      <c r="W16" s="9"/>
      <c r="X16" s="9"/>
      <c r="Y16" s="9"/>
      <c r="Z16" s="9"/>
      <c r="AA16" s="9"/>
      <c r="AB16" s="9"/>
      <c r="AC16" s="10"/>
    </row>
    <row r="17" spans="1:29" ht="24.5" customHeight="1" x14ac:dyDescent="0.15">
      <c r="A17" s="6"/>
      <c r="B17" s="13" t="s">
        <v>42</v>
      </c>
      <c r="C17" s="61"/>
      <c r="D17" s="15"/>
      <c r="E17" s="15"/>
      <c r="F17" s="9"/>
      <c r="G17" s="9"/>
      <c r="H17" s="9"/>
      <c r="I17" s="9"/>
      <c r="J17" s="9"/>
      <c r="K17" s="9"/>
      <c r="L17" s="9"/>
      <c r="M17" s="9"/>
      <c r="N17" s="9"/>
      <c r="O17" s="9"/>
      <c r="P17" s="9"/>
      <c r="Q17" s="9"/>
      <c r="R17" s="9"/>
      <c r="S17" s="9"/>
      <c r="T17" s="9"/>
      <c r="U17" s="9"/>
      <c r="V17" s="9"/>
      <c r="W17" s="9"/>
      <c r="X17" s="9"/>
      <c r="Y17" s="9"/>
      <c r="Z17" s="9"/>
      <c r="AA17" s="9"/>
      <c r="AB17" s="9"/>
      <c r="AC17" s="10"/>
    </row>
    <row r="18" spans="1:29" ht="53" customHeight="1" x14ac:dyDescent="0.15">
      <c r="A18" s="24"/>
      <c r="B18" s="62" t="s">
        <v>43</v>
      </c>
      <c r="C18" s="63" t="s">
        <v>44</v>
      </c>
      <c r="D18" s="63" t="s">
        <v>45</v>
      </c>
      <c r="E18" s="64" t="s">
        <v>46</v>
      </c>
      <c r="F18" s="32"/>
      <c r="G18" s="325"/>
      <c r="H18" s="323"/>
      <c r="I18" s="323"/>
      <c r="J18" s="323"/>
      <c r="K18" s="323"/>
      <c r="L18" s="323"/>
      <c r="M18" s="323"/>
      <c r="N18" s="9"/>
      <c r="O18" s="9"/>
      <c r="P18" s="9"/>
      <c r="Q18" s="9"/>
      <c r="R18" s="9"/>
      <c r="S18" s="9"/>
      <c r="T18" s="9"/>
      <c r="U18" s="9"/>
      <c r="V18" s="9"/>
      <c r="W18" s="9"/>
      <c r="X18" s="9"/>
      <c r="Y18" s="9"/>
      <c r="Z18" s="9"/>
      <c r="AA18" s="9"/>
      <c r="AB18" s="9"/>
      <c r="AC18" s="10"/>
    </row>
    <row r="19" spans="1:29" ht="20.5" customHeight="1" x14ac:dyDescent="0.15">
      <c r="A19" s="24"/>
      <c r="B19" s="66" t="s">
        <v>47</v>
      </c>
      <c r="C19" s="334">
        <v>0.8</v>
      </c>
      <c r="D19" s="335"/>
      <c r="E19" s="336"/>
      <c r="F19" s="32"/>
      <c r="G19" s="9"/>
      <c r="H19" s="9"/>
      <c r="I19" s="9"/>
      <c r="J19" s="9"/>
      <c r="K19" s="9"/>
      <c r="L19" s="9"/>
      <c r="M19" s="9"/>
      <c r="N19" s="9"/>
      <c r="O19" s="9"/>
      <c r="P19" s="9"/>
      <c r="Q19" s="9"/>
      <c r="R19" s="9"/>
      <c r="S19" s="9"/>
      <c r="T19" s="9"/>
      <c r="U19" s="9"/>
      <c r="V19" s="9"/>
      <c r="W19" s="9"/>
      <c r="X19" s="9"/>
      <c r="Y19" s="9"/>
      <c r="Z19" s="9"/>
      <c r="AA19" s="9"/>
      <c r="AB19" s="9"/>
      <c r="AC19" s="10"/>
    </row>
    <row r="20" spans="1:29" ht="20.5" customHeight="1" x14ac:dyDescent="0.15">
      <c r="A20" s="24"/>
      <c r="B20" s="67" t="s">
        <v>48</v>
      </c>
      <c r="C20" s="328">
        <f>100%-C19</f>
        <v>0.19999999999999996</v>
      </c>
      <c r="D20" s="329"/>
      <c r="E20" s="330"/>
      <c r="F20" s="32"/>
      <c r="G20" s="9"/>
      <c r="H20" s="9"/>
      <c r="I20" s="9"/>
      <c r="J20" s="9"/>
      <c r="K20" s="9"/>
      <c r="L20" s="9"/>
      <c r="M20" s="9"/>
      <c r="N20" s="9"/>
      <c r="O20" s="9"/>
      <c r="P20" s="9"/>
      <c r="Q20" s="9"/>
      <c r="R20" s="9"/>
      <c r="S20" s="9"/>
      <c r="T20" s="9"/>
      <c r="U20" s="9"/>
      <c r="V20" s="9"/>
      <c r="W20" s="9"/>
      <c r="X20" s="9"/>
      <c r="Y20" s="9"/>
      <c r="Z20" s="9"/>
      <c r="AA20" s="9"/>
      <c r="AB20" s="9"/>
      <c r="AC20" s="10"/>
    </row>
    <row r="21" spans="1:29" ht="20.5" customHeight="1" x14ac:dyDescent="0.15">
      <c r="A21" s="24"/>
      <c r="B21" s="67" t="s">
        <v>49</v>
      </c>
      <c r="C21" s="68">
        <v>7.1999999999999995E-2</v>
      </c>
      <c r="D21" s="68">
        <v>8.5000000000000006E-2</v>
      </c>
      <c r="E21" s="69">
        <v>5.5E-2</v>
      </c>
      <c r="F21" s="32"/>
      <c r="G21" s="9"/>
      <c r="H21" s="9"/>
      <c r="I21" s="9"/>
      <c r="J21" s="9"/>
      <c r="K21" s="9"/>
      <c r="L21" s="9"/>
      <c r="M21" s="9"/>
      <c r="N21" s="9"/>
      <c r="O21" s="9"/>
      <c r="P21" s="9"/>
      <c r="Q21" s="9"/>
      <c r="R21" s="9"/>
      <c r="S21" s="9"/>
      <c r="T21" s="9"/>
      <c r="U21" s="9"/>
      <c r="V21" s="9"/>
      <c r="W21" s="9"/>
      <c r="X21" s="9"/>
      <c r="Y21" s="9"/>
      <c r="Z21" s="9"/>
      <c r="AA21" s="9"/>
      <c r="AB21" s="9"/>
      <c r="AC21" s="10"/>
    </row>
    <row r="22" spans="1:29" ht="21" customHeight="1" x14ac:dyDescent="0.15">
      <c r="A22" s="24"/>
      <c r="B22" s="67" t="s">
        <v>50</v>
      </c>
      <c r="C22" s="68">
        <v>0.06</v>
      </c>
      <c r="D22" s="68">
        <v>0.11</v>
      </c>
      <c r="E22" s="69">
        <v>0.03</v>
      </c>
      <c r="F22" s="32"/>
      <c r="G22" s="9"/>
      <c r="H22" s="9"/>
      <c r="I22" s="9"/>
      <c r="J22" s="9"/>
      <c r="K22" s="9"/>
      <c r="L22" s="9"/>
      <c r="M22" s="9"/>
      <c r="N22" s="9"/>
      <c r="O22" s="9"/>
      <c r="P22" s="9"/>
      <c r="Q22" s="9"/>
      <c r="R22" s="9"/>
      <c r="S22" s="9"/>
      <c r="T22" s="9"/>
      <c r="U22" s="9"/>
      <c r="V22" s="9"/>
      <c r="W22" s="9"/>
      <c r="X22" s="9"/>
      <c r="Y22" s="9"/>
      <c r="Z22" s="9"/>
      <c r="AA22" s="9"/>
      <c r="AB22" s="9"/>
      <c r="AC22" s="10"/>
    </row>
    <row r="23" spans="1:29" ht="40.5" customHeight="1" x14ac:dyDescent="0.15">
      <c r="A23" s="24"/>
      <c r="B23" s="70" t="s">
        <v>51</v>
      </c>
      <c r="C23" s="71">
        <f>C21*C19+C22*C20</f>
        <v>6.9599999999999995E-2</v>
      </c>
      <c r="D23" s="71">
        <f>D21*C19+D22*C20</f>
        <v>0.09</v>
      </c>
      <c r="E23" s="72">
        <f>E21*C19+E22*C20</f>
        <v>0.05</v>
      </c>
      <c r="F23" s="32"/>
      <c r="G23" s="9"/>
      <c r="H23" s="9"/>
      <c r="I23" s="324"/>
      <c r="J23" s="323"/>
      <c r="K23" s="73"/>
      <c r="L23" s="73"/>
      <c r="M23" s="73"/>
      <c r="N23" s="73"/>
      <c r="O23" s="73"/>
      <c r="P23" s="73"/>
      <c r="Q23" s="73"/>
      <c r="R23" s="73"/>
      <c r="S23" s="9"/>
      <c r="T23" s="9"/>
      <c r="U23" s="9"/>
      <c r="V23" s="9"/>
      <c r="W23" s="9"/>
      <c r="X23" s="9"/>
      <c r="Y23" s="9"/>
      <c r="Z23" s="9"/>
      <c r="AA23" s="9"/>
      <c r="AB23" s="9"/>
      <c r="AC23" s="10"/>
    </row>
    <row r="24" spans="1:29" ht="24.5" customHeight="1" x14ac:dyDescent="0.15">
      <c r="A24" s="6"/>
      <c r="B24" s="58"/>
      <c r="C24" s="59"/>
      <c r="D24" s="60"/>
      <c r="E24" s="60"/>
      <c r="F24" s="9"/>
      <c r="G24" s="9"/>
      <c r="H24" s="9"/>
      <c r="I24" s="73"/>
      <c r="J24" s="73"/>
      <c r="K24" s="73"/>
      <c r="L24" s="73"/>
      <c r="M24" s="73"/>
      <c r="N24" s="73"/>
      <c r="O24" s="73"/>
      <c r="P24" s="73"/>
      <c r="Q24" s="73"/>
      <c r="R24" s="73"/>
      <c r="S24" s="9"/>
      <c r="T24" s="9"/>
      <c r="U24" s="9"/>
      <c r="V24" s="9"/>
      <c r="W24" s="9"/>
      <c r="X24" s="9"/>
      <c r="Y24" s="9"/>
      <c r="Z24" s="9"/>
      <c r="AA24" s="9"/>
      <c r="AB24" s="9"/>
      <c r="AC24" s="10"/>
    </row>
    <row r="25" spans="1:29" ht="24.5" customHeight="1" x14ac:dyDescent="0.15">
      <c r="A25" s="6"/>
      <c r="B25" s="74" t="s">
        <v>52</v>
      </c>
      <c r="C25" s="75"/>
      <c r="D25" s="76"/>
      <c r="E25" s="76"/>
      <c r="F25" s="9"/>
      <c r="G25" s="9"/>
      <c r="H25" s="9"/>
      <c r="I25" s="324"/>
      <c r="J25" s="73"/>
      <c r="K25" s="73"/>
      <c r="L25" s="73"/>
      <c r="M25" s="73"/>
      <c r="N25" s="73"/>
      <c r="O25" s="73"/>
      <c r="P25" s="73"/>
      <c r="Q25" s="73"/>
      <c r="R25" s="73"/>
      <c r="S25" s="9"/>
      <c r="T25" s="9"/>
      <c r="U25" s="9"/>
      <c r="V25" s="9"/>
      <c r="W25" s="9"/>
      <c r="X25" s="9"/>
      <c r="Y25" s="9"/>
      <c r="Z25" s="9"/>
      <c r="AA25" s="9"/>
      <c r="AB25" s="9"/>
      <c r="AC25" s="10"/>
    </row>
    <row r="26" spans="1:29" ht="25.5" customHeight="1" x14ac:dyDescent="0.15">
      <c r="A26" s="77"/>
      <c r="B26" s="78" t="s">
        <v>53</v>
      </c>
      <c r="C26" s="79" t="s">
        <v>54</v>
      </c>
      <c r="D26" s="80" t="s">
        <v>55</v>
      </c>
      <c r="E26" s="81" t="s">
        <v>56</v>
      </c>
      <c r="F26" s="82"/>
      <c r="G26" s="9"/>
      <c r="H26" s="9"/>
      <c r="I26" s="323"/>
      <c r="J26" s="73"/>
      <c r="K26" s="73"/>
      <c r="L26" s="73"/>
      <c r="M26" s="73"/>
      <c r="N26" s="73"/>
      <c r="O26" s="73"/>
      <c r="P26" s="73"/>
      <c r="Q26" s="73"/>
      <c r="R26" s="73"/>
      <c r="S26" s="9"/>
      <c r="T26" s="9"/>
      <c r="U26" s="9"/>
      <c r="V26" s="9"/>
      <c r="W26" s="9"/>
      <c r="X26" s="9"/>
      <c r="Y26" s="9"/>
      <c r="Z26" s="9"/>
      <c r="AA26" s="9"/>
      <c r="AB26" s="9"/>
      <c r="AC26" s="10"/>
    </row>
    <row r="27" spans="1:29" ht="25" customHeight="1" x14ac:dyDescent="0.15">
      <c r="A27" s="77"/>
      <c r="B27" s="83" t="s">
        <v>57</v>
      </c>
      <c r="C27" s="84">
        <v>60000</v>
      </c>
      <c r="D27" s="85">
        <v>85000</v>
      </c>
      <c r="E27" s="86">
        <v>50000</v>
      </c>
      <c r="F27" s="82"/>
      <c r="G27" s="9"/>
      <c r="H27" s="9"/>
      <c r="I27" s="323"/>
      <c r="J27" s="73"/>
      <c r="K27" s="73"/>
      <c r="L27" s="73"/>
      <c r="M27" s="73"/>
      <c r="N27" s="73"/>
      <c r="O27" s="73"/>
      <c r="P27" s="73"/>
      <c r="Q27" s="73"/>
      <c r="R27" s="73"/>
      <c r="S27" s="9"/>
      <c r="T27" s="9"/>
      <c r="U27" s="9"/>
      <c r="V27" s="9"/>
      <c r="W27" s="9"/>
      <c r="X27" s="9"/>
      <c r="Y27" s="9"/>
      <c r="Z27" s="9"/>
      <c r="AA27" s="9"/>
      <c r="AB27" s="9"/>
      <c r="AC27" s="10"/>
    </row>
    <row r="28" spans="1:29" ht="42.5" customHeight="1" x14ac:dyDescent="0.15">
      <c r="A28" s="77"/>
      <c r="B28" s="87" t="s">
        <v>58</v>
      </c>
      <c r="C28" s="88">
        <f>D11</f>
        <v>150000</v>
      </c>
      <c r="D28" s="89">
        <v>100000</v>
      </c>
      <c r="E28" s="90">
        <v>175000</v>
      </c>
      <c r="F28" s="82"/>
      <c r="G28" s="9"/>
      <c r="H28" s="9"/>
      <c r="I28" s="65"/>
      <c r="J28" s="73"/>
      <c r="K28" s="73"/>
      <c r="L28" s="73"/>
      <c r="M28" s="73"/>
      <c r="N28" s="73"/>
      <c r="O28" s="73"/>
      <c r="P28" s="73"/>
      <c r="Q28" s="73"/>
      <c r="R28" s="73"/>
      <c r="S28" s="9"/>
      <c r="T28" s="9"/>
      <c r="U28" s="9"/>
      <c r="V28" s="9"/>
      <c r="W28" s="9"/>
      <c r="X28" s="9"/>
      <c r="Y28" s="9"/>
      <c r="Z28" s="9"/>
      <c r="AA28" s="9"/>
      <c r="AB28" s="9"/>
      <c r="AC28" s="10"/>
    </row>
    <row r="29" spans="1:29" ht="24.25" customHeight="1" x14ac:dyDescent="0.15">
      <c r="A29" s="77"/>
      <c r="B29" s="87" t="s">
        <v>59</v>
      </c>
      <c r="C29" s="91">
        <v>0.03</v>
      </c>
      <c r="D29" s="92">
        <v>1.4999999999999999E-2</v>
      </c>
      <c r="E29" s="93">
        <v>4.4999999999999998E-2</v>
      </c>
      <c r="F29" s="82"/>
      <c r="G29" s="9"/>
      <c r="H29" s="9"/>
      <c r="I29" s="65"/>
      <c r="J29" s="73"/>
      <c r="K29" s="73"/>
      <c r="L29" s="73"/>
      <c r="M29" s="73"/>
      <c r="N29" s="73"/>
      <c r="O29" s="73"/>
      <c r="P29" s="73"/>
      <c r="Q29" s="73"/>
      <c r="R29" s="73"/>
      <c r="S29" s="9"/>
      <c r="T29" s="9"/>
      <c r="U29" s="9"/>
      <c r="V29" s="9"/>
      <c r="W29" s="9"/>
      <c r="X29" s="9"/>
      <c r="Y29" s="9"/>
      <c r="Z29" s="9"/>
      <c r="AA29" s="9"/>
      <c r="AB29" s="9"/>
      <c r="AC29" s="10"/>
    </row>
    <row r="30" spans="1:29" ht="40.25" customHeight="1" x14ac:dyDescent="0.15">
      <c r="A30" s="77"/>
      <c r="B30" s="94" t="s">
        <v>60</v>
      </c>
      <c r="C30" s="91">
        <v>0.02</v>
      </c>
      <c r="D30" s="92">
        <v>0.03</v>
      </c>
      <c r="E30" s="93">
        <v>1.4999999999999999E-2</v>
      </c>
      <c r="F30" s="82"/>
      <c r="G30" s="9"/>
      <c r="H30" s="9"/>
      <c r="I30" s="65"/>
      <c r="J30" s="73"/>
      <c r="K30" s="73"/>
      <c r="L30" s="73"/>
      <c r="M30" s="73"/>
      <c r="N30" s="73"/>
      <c r="O30" s="73"/>
      <c r="P30" s="73"/>
      <c r="Q30" s="73"/>
      <c r="R30" s="73"/>
      <c r="S30" s="9"/>
      <c r="T30" s="9"/>
      <c r="U30" s="9"/>
      <c r="V30" s="9"/>
      <c r="W30" s="9"/>
      <c r="X30" s="9"/>
      <c r="Y30" s="9"/>
      <c r="Z30" s="9"/>
      <c r="AA30" s="9"/>
      <c r="AB30" s="9"/>
      <c r="AC30" s="10"/>
    </row>
    <row r="31" spans="1:29" ht="24.25" customHeight="1" x14ac:dyDescent="0.15">
      <c r="A31" s="77"/>
      <c r="B31" s="95" t="s">
        <v>61</v>
      </c>
      <c r="C31" s="96">
        <v>15</v>
      </c>
      <c r="D31" s="356">
        <v>7.5</v>
      </c>
      <c r="E31" s="98">
        <v>20</v>
      </c>
      <c r="F31" s="82"/>
      <c r="G31" s="9"/>
      <c r="H31" s="9"/>
      <c r="I31" s="65"/>
      <c r="J31" s="73"/>
      <c r="K31" s="73"/>
      <c r="L31" s="73"/>
      <c r="M31" s="73"/>
      <c r="N31" s="73"/>
      <c r="O31" s="73"/>
      <c r="P31" s="73"/>
      <c r="Q31" s="73"/>
      <c r="R31" s="73"/>
      <c r="S31" s="9"/>
      <c r="T31" s="9"/>
      <c r="U31" s="9"/>
      <c r="V31" s="9"/>
      <c r="W31" s="9"/>
      <c r="X31" s="9"/>
      <c r="Y31" s="9"/>
      <c r="Z31" s="9"/>
      <c r="AA31" s="9"/>
      <c r="AB31" s="9"/>
      <c r="AC31" s="10"/>
    </row>
    <row r="32" spans="1:29" ht="25" customHeight="1" x14ac:dyDescent="0.15">
      <c r="A32" s="77"/>
      <c r="B32" s="99" t="s">
        <v>62</v>
      </c>
      <c r="C32" s="100">
        <f>C23</f>
        <v>6.9599999999999995E-2</v>
      </c>
      <c r="D32" s="101">
        <f>D23</f>
        <v>0.09</v>
      </c>
      <c r="E32" s="102">
        <f>E23</f>
        <v>0.05</v>
      </c>
      <c r="F32" s="82"/>
      <c r="G32" s="9"/>
      <c r="H32" s="9"/>
      <c r="I32" s="65"/>
      <c r="J32" s="73"/>
      <c r="K32" s="73"/>
      <c r="L32" s="73"/>
      <c r="M32" s="73"/>
      <c r="N32" s="73"/>
      <c r="O32" s="73"/>
      <c r="P32" s="73"/>
      <c r="Q32" s="73"/>
      <c r="R32" s="73"/>
      <c r="S32" s="9"/>
      <c r="T32" s="9"/>
      <c r="U32" s="9"/>
      <c r="V32" s="9"/>
      <c r="W32" s="9"/>
      <c r="X32" s="9"/>
      <c r="Y32" s="9"/>
      <c r="Z32" s="9"/>
      <c r="AA32" s="9"/>
      <c r="AB32" s="9"/>
      <c r="AC32" s="10"/>
    </row>
    <row r="33" spans="1:29" ht="25.5" customHeight="1" x14ac:dyDescent="0.15">
      <c r="A33" s="103"/>
      <c r="B33" s="104" t="s">
        <v>63</v>
      </c>
      <c r="C33" s="105">
        <f>D54</f>
        <v>239602.80288053022</v>
      </c>
      <c r="D33" s="106">
        <f>D74</f>
        <v>5609.1006282661438</v>
      </c>
      <c r="E33" s="107">
        <f>D94</f>
        <v>546499.75602584344</v>
      </c>
      <c r="F33" s="108"/>
      <c r="G33" s="109"/>
      <c r="H33" s="109"/>
      <c r="I33" s="109"/>
      <c r="J33" s="109"/>
      <c r="K33" s="109"/>
      <c r="L33" s="109"/>
      <c r="M33" s="109"/>
      <c r="N33" s="109"/>
      <c r="O33" s="109"/>
      <c r="P33" s="109"/>
      <c r="Q33" s="109"/>
      <c r="R33" s="109"/>
      <c r="S33" s="109"/>
      <c r="T33" s="109"/>
      <c r="U33" s="109"/>
      <c r="V33" s="109"/>
      <c r="W33" s="109"/>
      <c r="X33" s="109"/>
      <c r="Y33" s="109"/>
      <c r="Z33" s="109"/>
      <c r="AA33" s="109"/>
      <c r="AB33" s="109"/>
      <c r="AC33" s="110"/>
    </row>
    <row r="34" spans="1:29" ht="24.5" customHeight="1" x14ac:dyDescent="0.15">
      <c r="A34" s="6"/>
      <c r="B34" s="7"/>
      <c r="C34" s="111"/>
      <c r="D34" s="8"/>
      <c r="E34" s="8"/>
      <c r="F34" s="9"/>
      <c r="G34" s="9"/>
      <c r="H34" s="9"/>
      <c r="I34" s="9"/>
      <c r="J34" s="9"/>
      <c r="K34" s="9"/>
      <c r="L34" s="9"/>
      <c r="M34" s="9"/>
      <c r="N34" s="9"/>
      <c r="O34" s="9"/>
      <c r="P34" s="9"/>
      <c r="Q34" s="9"/>
      <c r="R34" s="9"/>
      <c r="S34" s="9"/>
      <c r="T34" s="9"/>
      <c r="U34" s="9"/>
      <c r="V34" s="9"/>
      <c r="W34" s="9"/>
      <c r="X34" s="9"/>
      <c r="Y34" s="9"/>
      <c r="Z34" s="9"/>
      <c r="AA34" s="9"/>
      <c r="AB34" s="9"/>
      <c r="AC34" s="10"/>
    </row>
    <row r="35" spans="1:29" ht="24.5" customHeight="1" x14ac:dyDescent="0.15">
      <c r="A35" s="6"/>
      <c r="B35" s="320" t="s">
        <v>64</v>
      </c>
      <c r="C35" s="321"/>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112"/>
    </row>
    <row r="36" spans="1:29" ht="25.5" customHeight="1" x14ac:dyDescent="0.15">
      <c r="A36" s="77"/>
      <c r="B36" s="113" t="s">
        <v>65</v>
      </c>
      <c r="C36" s="114"/>
      <c r="D36" s="115">
        <v>0</v>
      </c>
      <c r="E36" s="115">
        <v>1</v>
      </c>
      <c r="F36" s="115">
        <v>2</v>
      </c>
      <c r="G36" s="115">
        <v>3</v>
      </c>
      <c r="H36" s="115">
        <v>4</v>
      </c>
      <c r="I36" s="115">
        <v>5</v>
      </c>
      <c r="J36" s="115">
        <v>6</v>
      </c>
      <c r="K36" s="115">
        <v>7</v>
      </c>
      <c r="L36" s="115">
        <v>8</v>
      </c>
      <c r="M36" s="115">
        <v>9</v>
      </c>
      <c r="N36" s="115">
        <v>10</v>
      </c>
      <c r="O36" s="115">
        <v>11</v>
      </c>
      <c r="P36" s="115">
        <v>12</v>
      </c>
      <c r="Q36" s="115">
        <v>13</v>
      </c>
      <c r="R36" s="115">
        <v>14</v>
      </c>
      <c r="S36" s="115">
        <v>15</v>
      </c>
      <c r="T36" s="115">
        <v>16</v>
      </c>
      <c r="U36" s="115">
        <v>17</v>
      </c>
      <c r="V36" s="115">
        <v>18</v>
      </c>
      <c r="W36" s="115">
        <v>19</v>
      </c>
      <c r="X36" s="115">
        <v>20</v>
      </c>
      <c r="Y36" s="115">
        <v>21</v>
      </c>
      <c r="Z36" s="115">
        <v>22</v>
      </c>
      <c r="AA36" s="115">
        <v>23</v>
      </c>
      <c r="AB36" s="115">
        <v>24</v>
      </c>
      <c r="AC36" s="116">
        <v>25</v>
      </c>
    </row>
    <row r="37" spans="1:29" ht="25.5" customHeight="1" x14ac:dyDescent="0.15">
      <c r="A37" s="77"/>
      <c r="B37" s="117" t="s">
        <v>66</v>
      </c>
      <c r="C37" s="118">
        <f>C23</f>
        <v>6.9599999999999995E-2</v>
      </c>
      <c r="D37" s="119"/>
      <c r="E37" s="120"/>
      <c r="F37" s="8"/>
      <c r="G37" s="8"/>
      <c r="H37" s="8"/>
      <c r="I37" s="8"/>
      <c r="J37" s="8"/>
      <c r="K37" s="8"/>
      <c r="L37" s="8"/>
      <c r="M37" s="8"/>
      <c r="N37" s="8"/>
      <c r="O37" s="8"/>
      <c r="P37" s="8"/>
      <c r="Q37" s="8"/>
      <c r="R37" s="8"/>
      <c r="S37" s="8"/>
      <c r="T37" s="8"/>
      <c r="U37" s="8"/>
      <c r="V37" s="8"/>
      <c r="W37" s="8"/>
      <c r="X37" s="8"/>
      <c r="Y37" s="8"/>
      <c r="Z37" s="8"/>
      <c r="AA37" s="8"/>
      <c r="AB37" s="8"/>
      <c r="AC37" s="121"/>
    </row>
    <row r="38" spans="1:29" ht="25.5" customHeight="1" x14ac:dyDescent="0.15">
      <c r="A38" s="77"/>
      <c r="B38" s="122" t="s">
        <v>67</v>
      </c>
      <c r="C38" s="123">
        <f>C29</f>
        <v>0.03</v>
      </c>
      <c r="D38" s="124"/>
      <c r="E38" s="125"/>
      <c r="F38" s="322"/>
      <c r="G38" s="322"/>
      <c r="H38" s="322"/>
      <c r="I38" s="322"/>
      <c r="J38" s="322"/>
      <c r="K38" s="322"/>
      <c r="L38" s="322"/>
      <c r="M38" s="322"/>
      <c r="N38" s="125"/>
      <c r="O38" s="125"/>
      <c r="P38" s="125"/>
      <c r="Q38" s="125"/>
      <c r="R38" s="125"/>
      <c r="S38" s="125"/>
      <c r="T38" s="125"/>
      <c r="U38" s="125"/>
      <c r="V38" s="125"/>
      <c r="W38" s="125"/>
      <c r="X38" s="125"/>
      <c r="Y38" s="125"/>
      <c r="Z38" s="125"/>
      <c r="AA38" s="125"/>
      <c r="AB38" s="125"/>
      <c r="AC38" s="127"/>
    </row>
    <row r="39" spans="1:29" ht="25.5" customHeight="1" x14ac:dyDescent="0.15">
      <c r="A39" s="77"/>
      <c r="B39" s="122" t="s">
        <v>68</v>
      </c>
      <c r="C39" s="123">
        <f>C30</f>
        <v>0.02</v>
      </c>
      <c r="D39" s="124"/>
      <c r="E39" s="125"/>
      <c r="F39" s="322"/>
      <c r="G39" s="322"/>
      <c r="H39" s="322"/>
      <c r="I39" s="322"/>
      <c r="J39" s="322"/>
      <c r="K39" s="322"/>
      <c r="L39" s="322"/>
      <c r="M39" s="322"/>
      <c r="N39" s="125"/>
      <c r="O39" s="125"/>
      <c r="P39" s="125"/>
      <c r="Q39" s="125"/>
      <c r="R39" s="125"/>
      <c r="S39" s="125"/>
      <c r="T39" s="125"/>
      <c r="U39" s="125"/>
      <c r="V39" s="125"/>
      <c r="W39" s="125"/>
      <c r="X39" s="125"/>
      <c r="Y39" s="125"/>
      <c r="Z39" s="125"/>
      <c r="AA39" s="125"/>
      <c r="AB39" s="125"/>
      <c r="AC39" s="127"/>
    </row>
    <row r="40" spans="1:29" ht="25.5" customHeight="1" x14ac:dyDescent="0.15">
      <c r="A40" s="77"/>
      <c r="B40" s="122" t="s">
        <v>69</v>
      </c>
      <c r="C40" s="128">
        <f>G11</f>
        <v>0.18</v>
      </c>
      <c r="D40" s="124"/>
      <c r="E40" s="125"/>
      <c r="F40" s="322"/>
      <c r="G40" s="322"/>
      <c r="H40" s="322"/>
      <c r="I40" s="322"/>
      <c r="J40" s="322"/>
      <c r="K40" s="322"/>
      <c r="L40" s="322"/>
      <c r="M40" s="322"/>
      <c r="N40" s="125"/>
      <c r="O40" s="125"/>
      <c r="P40" s="125"/>
      <c r="Q40" s="125"/>
      <c r="R40" s="125"/>
      <c r="S40" s="125"/>
      <c r="T40" s="125"/>
      <c r="U40" s="125"/>
      <c r="V40" s="125"/>
      <c r="W40" s="125"/>
      <c r="X40" s="125"/>
      <c r="Y40" s="125"/>
      <c r="Z40" s="125"/>
      <c r="AA40" s="125"/>
      <c r="AB40" s="125"/>
      <c r="AC40" s="127"/>
    </row>
    <row r="41" spans="1:29" ht="25.5" customHeight="1" x14ac:dyDescent="0.15">
      <c r="A41" s="77"/>
      <c r="B41" s="122" t="s">
        <v>70</v>
      </c>
      <c r="C41" s="129">
        <f>C31</f>
        <v>15</v>
      </c>
      <c r="D41" s="124"/>
      <c r="E41" s="125"/>
      <c r="F41" s="9"/>
      <c r="G41" s="9"/>
      <c r="H41" s="9"/>
      <c r="I41" s="9"/>
      <c r="J41" s="9"/>
      <c r="K41" s="9"/>
      <c r="L41" s="9"/>
      <c r="M41" s="9"/>
      <c r="N41" s="9"/>
      <c r="O41" s="9"/>
      <c r="P41" s="9"/>
      <c r="Q41" s="9"/>
      <c r="R41" s="9"/>
      <c r="S41" s="9"/>
      <c r="T41" s="9"/>
      <c r="U41" s="9"/>
      <c r="V41" s="9"/>
      <c r="W41" s="9"/>
      <c r="X41" s="9"/>
      <c r="Y41" s="9"/>
      <c r="Z41" s="9"/>
      <c r="AA41" s="9"/>
      <c r="AB41" s="9"/>
      <c r="AC41" s="130"/>
    </row>
    <row r="42" spans="1:29" ht="25.5" customHeight="1" x14ac:dyDescent="0.15">
      <c r="A42" s="77"/>
      <c r="B42" s="131" t="s">
        <v>71</v>
      </c>
      <c r="C42" s="132"/>
      <c r="D42" s="133">
        <f>IF(C41&gt;=D36,1,0)</f>
        <v>1</v>
      </c>
      <c r="E42" s="134">
        <f t="shared" ref="E42:AC42" si="1">IF($C$41&gt;=E36,1,0)</f>
        <v>1</v>
      </c>
      <c r="F42" s="134">
        <f t="shared" si="1"/>
        <v>1</v>
      </c>
      <c r="G42" s="134">
        <f t="shared" si="1"/>
        <v>1</v>
      </c>
      <c r="H42" s="134">
        <f t="shared" si="1"/>
        <v>1</v>
      </c>
      <c r="I42" s="134">
        <f t="shared" si="1"/>
        <v>1</v>
      </c>
      <c r="J42" s="134">
        <f t="shared" si="1"/>
        <v>1</v>
      </c>
      <c r="K42" s="134">
        <f t="shared" si="1"/>
        <v>1</v>
      </c>
      <c r="L42" s="134">
        <f t="shared" si="1"/>
        <v>1</v>
      </c>
      <c r="M42" s="134">
        <f t="shared" si="1"/>
        <v>1</v>
      </c>
      <c r="N42" s="134">
        <f t="shared" si="1"/>
        <v>1</v>
      </c>
      <c r="O42" s="134">
        <f t="shared" si="1"/>
        <v>1</v>
      </c>
      <c r="P42" s="134">
        <f t="shared" si="1"/>
        <v>1</v>
      </c>
      <c r="Q42" s="134">
        <f t="shared" si="1"/>
        <v>1</v>
      </c>
      <c r="R42" s="134">
        <f t="shared" si="1"/>
        <v>1</v>
      </c>
      <c r="S42" s="134">
        <f t="shared" si="1"/>
        <v>1</v>
      </c>
      <c r="T42" s="134">
        <f t="shared" si="1"/>
        <v>0</v>
      </c>
      <c r="U42" s="134">
        <f t="shared" si="1"/>
        <v>0</v>
      </c>
      <c r="V42" s="134">
        <f t="shared" si="1"/>
        <v>0</v>
      </c>
      <c r="W42" s="134">
        <f t="shared" si="1"/>
        <v>0</v>
      </c>
      <c r="X42" s="134">
        <f t="shared" si="1"/>
        <v>0</v>
      </c>
      <c r="Y42" s="134">
        <f t="shared" si="1"/>
        <v>0</v>
      </c>
      <c r="Z42" s="134">
        <f t="shared" si="1"/>
        <v>0</v>
      </c>
      <c r="AA42" s="134">
        <f t="shared" si="1"/>
        <v>0</v>
      </c>
      <c r="AB42" s="134">
        <f t="shared" si="1"/>
        <v>0</v>
      </c>
      <c r="AC42" s="135">
        <f t="shared" si="1"/>
        <v>0</v>
      </c>
    </row>
    <row r="43" spans="1:29" ht="25.5" customHeight="1" x14ac:dyDescent="0.15">
      <c r="A43" s="136"/>
      <c r="B43" s="137" t="s">
        <v>72</v>
      </c>
      <c r="C43" s="138" t="s">
        <v>73</v>
      </c>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1"/>
    </row>
    <row r="44" spans="1:29" ht="25.5" customHeight="1" x14ac:dyDescent="0.15">
      <c r="A44" s="77"/>
      <c r="B44" s="122" t="str">
        <f>$B27</f>
        <v>Investitionsauszahlung komplett</v>
      </c>
      <c r="C44" s="142">
        <f>C27</f>
        <v>60000</v>
      </c>
      <c r="D44" s="143">
        <f>-C44</f>
        <v>-60000</v>
      </c>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5"/>
    </row>
    <row r="45" spans="1:29" ht="25.5" customHeight="1" x14ac:dyDescent="0.15">
      <c r="A45" s="77"/>
      <c r="B45" s="146" t="s">
        <v>74</v>
      </c>
      <c r="C45" s="147">
        <v>5000</v>
      </c>
      <c r="D45" s="143">
        <f>-C45</f>
        <v>-5000</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5"/>
    </row>
    <row r="46" spans="1:29" ht="25.5" customHeight="1" x14ac:dyDescent="0.15">
      <c r="A46" s="77"/>
      <c r="B46" s="148" t="s">
        <v>26</v>
      </c>
      <c r="C46" s="149">
        <v>3000</v>
      </c>
      <c r="D46" s="150">
        <f>-C46</f>
        <v>-3000</v>
      </c>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2"/>
    </row>
    <row r="47" spans="1:29" ht="25.5" customHeight="1" x14ac:dyDescent="0.15">
      <c r="A47" s="136"/>
      <c r="B47" s="137" t="s">
        <v>75</v>
      </c>
      <c r="C47" s="153" t="s">
        <v>73</v>
      </c>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6"/>
    </row>
    <row r="48" spans="1:29" ht="25.5" customHeight="1" x14ac:dyDescent="0.15">
      <c r="A48" s="77"/>
      <c r="B48" s="157" t="s">
        <v>76</v>
      </c>
      <c r="C48" s="158">
        <f>C28</f>
        <v>150000</v>
      </c>
      <c r="D48" s="143"/>
      <c r="E48" s="144">
        <f t="shared" ref="E48:AC48" si="2">$C$48*$C$40*(1+$C$38)^E36</f>
        <v>27810</v>
      </c>
      <c r="F48" s="144">
        <f t="shared" si="2"/>
        <v>28644.3</v>
      </c>
      <c r="G48" s="144">
        <f t="shared" si="2"/>
        <v>29503.629000000001</v>
      </c>
      <c r="H48" s="144">
        <f t="shared" si="2"/>
        <v>30388.737869999997</v>
      </c>
      <c r="I48" s="144">
        <f t="shared" si="2"/>
        <v>31300.400006099997</v>
      </c>
      <c r="J48" s="144">
        <f t="shared" si="2"/>
        <v>32239.412006282997</v>
      </c>
      <c r="K48" s="144">
        <f t="shared" si="2"/>
        <v>33206.594366471487</v>
      </c>
      <c r="L48" s="144">
        <f t="shared" si="2"/>
        <v>34202.792197465627</v>
      </c>
      <c r="M48" s="144">
        <f t="shared" si="2"/>
        <v>35228.875963389597</v>
      </c>
      <c r="N48" s="144">
        <f t="shared" si="2"/>
        <v>36285.742242291286</v>
      </c>
      <c r="O48" s="144">
        <f t="shared" si="2"/>
        <v>37374.314509560027</v>
      </c>
      <c r="P48" s="144">
        <f t="shared" si="2"/>
        <v>38495.543944846824</v>
      </c>
      <c r="Q48" s="144">
        <f t="shared" si="2"/>
        <v>39650.410263192229</v>
      </c>
      <c r="R48" s="144">
        <f t="shared" si="2"/>
        <v>40839.922571087998</v>
      </c>
      <c r="S48" s="144">
        <f t="shared" si="2"/>
        <v>42065.120248220643</v>
      </c>
      <c r="T48" s="144">
        <f t="shared" si="2"/>
        <v>43327.073855667251</v>
      </c>
      <c r="U48" s="144">
        <f t="shared" si="2"/>
        <v>44626.886071337271</v>
      </c>
      <c r="V48" s="144">
        <f t="shared" si="2"/>
        <v>45965.692653477388</v>
      </c>
      <c r="W48" s="144">
        <f t="shared" si="2"/>
        <v>47344.663433081711</v>
      </c>
      <c r="X48" s="144">
        <f t="shared" si="2"/>
        <v>48765.003336074158</v>
      </c>
      <c r="Y48" s="144">
        <f t="shared" si="2"/>
        <v>50227.953436156378</v>
      </c>
      <c r="Z48" s="144">
        <f t="shared" si="2"/>
        <v>51734.792039241074</v>
      </c>
      <c r="AA48" s="144">
        <f t="shared" si="2"/>
        <v>53286.83580041831</v>
      </c>
      <c r="AB48" s="144">
        <f t="shared" si="2"/>
        <v>54885.440874430846</v>
      </c>
      <c r="AC48" s="145">
        <f t="shared" si="2"/>
        <v>56532.004100663777</v>
      </c>
    </row>
    <row r="49" spans="1:29" ht="25.5" customHeight="1" x14ac:dyDescent="0.15">
      <c r="A49" s="77"/>
      <c r="B49" s="159" t="s">
        <v>77</v>
      </c>
      <c r="C49" s="160">
        <v>250</v>
      </c>
      <c r="D49" s="143"/>
      <c r="E49" s="144">
        <f t="shared" ref="E49:AC49" si="3">$C$49*(1+$C$39)^E36</f>
        <v>255</v>
      </c>
      <c r="F49" s="144">
        <f t="shared" si="3"/>
        <v>260.10000000000002</v>
      </c>
      <c r="G49" s="144">
        <f t="shared" si="3"/>
        <v>265.30199999999996</v>
      </c>
      <c r="H49" s="144">
        <f t="shared" si="3"/>
        <v>270.60804000000002</v>
      </c>
      <c r="I49" s="144">
        <f t="shared" si="3"/>
        <v>276.0202008</v>
      </c>
      <c r="J49" s="144">
        <f t="shared" si="3"/>
        <v>281.54060481600004</v>
      </c>
      <c r="K49" s="144">
        <f t="shared" si="3"/>
        <v>287.17141691231996</v>
      </c>
      <c r="L49" s="144">
        <f t="shared" si="3"/>
        <v>292.91484525056637</v>
      </c>
      <c r="M49" s="144">
        <f t="shared" si="3"/>
        <v>298.77314215557772</v>
      </c>
      <c r="N49" s="144">
        <f t="shared" si="3"/>
        <v>304.7486049986893</v>
      </c>
      <c r="O49" s="144">
        <f t="shared" si="3"/>
        <v>310.84357709866299</v>
      </c>
      <c r="P49" s="144">
        <f t="shared" si="3"/>
        <v>317.06044864063631</v>
      </c>
      <c r="Q49" s="144">
        <f t="shared" si="3"/>
        <v>323.401657613449</v>
      </c>
      <c r="R49" s="144">
        <f t="shared" si="3"/>
        <v>329.86969076571802</v>
      </c>
      <c r="S49" s="144">
        <f t="shared" si="3"/>
        <v>336.46708458103228</v>
      </c>
      <c r="T49" s="144">
        <f t="shared" si="3"/>
        <v>343.19642627265301</v>
      </c>
      <c r="U49" s="144">
        <f t="shared" si="3"/>
        <v>350.06035479810612</v>
      </c>
      <c r="V49" s="144">
        <f t="shared" si="3"/>
        <v>357.06156189406818</v>
      </c>
      <c r="W49" s="144">
        <f t="shared" si="3"/>
        <v>364.20279313194953</v>
      </c>
      <c r="X49" s="144">
        <f t="shared" si="3"/>
        <v>371.48684899458857</v>
      </c>
      <c r="Y49" s="144">
        <f t="shared" si="3"/>
        <v>378.91658597448031</v>
      </c>
      <c r="Z49" s="144">
        <f t="shared" si="3"/>
        <v>386.49491769396991</v>
      </c>
      <c r="AA49" s="144">
        <f t="shared" si="3"/>
        <v>394.22481604784923</v>
      </c>
      <c r="AB49" s="144">
        <f t="shared" si="3"/>
        <v>402.10931236880629</v>
      </c>
      <c r="AC49" s="145">
        <f t="shared" si="3"/>
        <v>410.15149861618238</v>
      </c>
    </row>
    <row r="50" spans="1:29" ht="25.5" customHeight="1" x14ac:dyDescent="0.15">
      <c r="A50" s="77"/>
      <c r="B50" s="161" t="s">
        <v>39</v>
      </c>
      <c r="C50" s="162">
        <v>1500</v>
      </c>
      <c r="D50" s="150">
        <f>C50</f>
        <v>1500</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2"/>
    </row>
    <row r="51" spans="1:29" ht="25.5" customHeight="1" x14ac:dyDescent="0.15">
      <c r="A51" s="77"/>
      <c r="B51" s="117" t="s">
        <v>78</v>
      </c>
      <c r="C51" s="163"/>
      <c r="D51" s="164">
        <f t="shared" ref="D51:AC51" si="4">(SUM(D44:D46)+SUM(D48:D50))*D42</f>
        <v>-66500</v>
      </c>
      <c r="E51" s="165">
        <f t="shared" si="4"/>
        <v>28065</v>
      </c>
      <c r="F51" s="165">
        <f t="shared" si="4"/>
        <v>28904.399999999998</v>
      </c>
      <c r="G51" s="165">
        <f t="shared" si="4"/>
        <v>29768.931</v>
      </c>
      <c r="H51" s="165">
        <f t="shared" si="4"/>
        <v>30659.345909999996</v>
      </c>
      <c r="I51" s="165">
        <f t="shared" si="4"/>
        <v>31576.420206899998</v>
      </c>
      <c r="J51" s="165">
        <f t="shared" si="4"/>
        <v>32520.952611098997</v>
      </c>
      <c r="K51" s="165">
        <f t="shared" si="4"/>
        <v>33493.765783383809</v>
      </c>
      <c r="L51" s="165">
        <f t="shared" si="4"/>
        <v>34495.707042716196</v>
      </c>
      <c r="M51" s="165">
        <f t="shared" si="4"/>
        <v>35527.649105545177</v>
      </c>
      <c r="N51" s="165">
        <f t="shared" si="4"/>
        <v>36590.490847289977</v>
      </c>
      <c r="O51" s="165">
        <f t="shared" si="4"/>
        <v>37685.158086658688</v>
      </c>
      <c r="P51" s="165">
        <f t="shared" si="4"/>
        <v>38812.604393487461</v>
      </c>
      <c r="Q51" s="165">
        <f t="shared" si="4"/>
        <v>39973.811920805674</v>
      </c>
      <c r="R51" s="165">
        <f t="shared" si="4"/>
        <v>41169.79226185372</v>
      </c>
      <c r="S51" s="165">
        <f t="shared" si="4"/>
        <v>42401.587332801675</v>
      </c>
      <c r="T51" s="165">
        <f t="shared" si="4"/>
        <v>0</v>
      </c>
      <c r="U51" s="165">
        <f t="shared" si="4"/>
        <v>0</v>
      </c>
      <c r="V51" s="165">
        <f t="shared" si="4"/>
        <v>0</v>
      </c>
      <c r="W51" s="165">
        <f t="shared" si="4"/>
        <v>0</v>
      </c>
      <c r="X51" s="165">
        <f t="shared" si="4"/>
        <v>0</v>
      </c>
      <c r="Y51" s="165">
        <f t="shared" si="4"/>
        <v>0</v>
      </c>
      <c r="Z51" s="165">
        <f t="shared" si="4"/>
        <v>0</v>
      </c>
      <c r="AA51" s="165">
        <f t="shared" si="4"/>
        <v>0</v>
      </c>
      <c r="AB51" s="165">
        <f t="shared" si="4"/>
        <v>0</v>
      </c>
      <c r="AC51" s="166">
        <f t="shared" si="4"/>
        <v>0</v>
      </c>
    </row>
    <row r="52" spans="1:29" ht="25.5" customHeight="1" x14ac:dyDescent="0.15">
      <c r="A52" s="77"/>
      <c r="B52" s="131" t="s">
        <v>79</v>
      </c>
      <c r="C52" s="167"/>
      <c r="D52" s="150">
        <f>(D51)/(1+$C$37)^D36</f>
        <v>-66500</v>
      </c>
      <c r="E52" s="151">
        <f t="shared" ref="E52:AC52" si="5">E51/(1+$C$37)^E36</f>
        <v>26238.7808526552</v>
      </c>
      <c r="F52" s="151">
        <f t="shared" si="5"/>
        <v>25265.108647554309</v>
      </c>
      <c r="G52" s="151">
        <f t="shared" si="5"/>
        <v>24327.588251068762</v>
      </c>
      <c r="H52" s="151">
        <f t="shared" si="5"/>
        <v>23424.876414939165</v>
      </c>
      <c r="I52" s="151">
        <f t="shared" si="5"/>
        <v>22555.679844505281</v>
      </c>
      <c r="J52" s="151">
        <f t="shared" si="5"/>
        <v>21718.753338957431</v>
      </c>
      <c r="K52" s="151">
        <f t="shared" si="5"/>
        <v>20912.898000919766</v>
      </c>
      <c r="L52" s="151">
        <f t="shared" si="5"/>
        <v>20136.959512776215</v>
      </c>
      <c r="M52" s="151">
        <f t="shared" si="5"/>
        <v>19389.826477247039</v>
      </c>
      <c r="N52" s="151">
        <f t="shared" si="5"/>
        <v>18670.428819817011</v>
      </c>
      <c r="O52" s="151">
        <f t="shared" si="5"/>
        <v>17977.736250706112</v>
      </c>
      <c r="P52" s="151">
        <f t="shared" si="5"/>
        <v>17310.756784159912</v>
      </c>
      <c r="Q52" s="151">
        <f t="shared" si="5"/>
        <v>16668.535312920008</v>
      </c>
      <c r="R52" s="151">
        <f t="shared" si="5"/>
        <v>16050.152235814965</v>
      </c>
      <c r="S52" s="151">
        <f t="shared" si="5"/>
        <v>15454.722136489023</v>
      </c>
      <c r="T52" s="151">
        <f t="shared" si="5"/>
        <v>0</v>
      </c>
      <c r="U52" s="151">
        <f t="shared" si="5"/>
        <v>0</v>
      </c>
      <c r="V52" s="151">
        <f t="shared" si="5"/>
        <v>0</v>
      </c>
      <c r="W52" s="151">
        <f t="shared" si="5"/>
        <v>0</v>
      </c>
      <c r="X52" s="151">
        <f t="shared" si="5"/>
        <v>0</v>
      </c>
      <c r="Y52" s="151">
        <f t="shared" si="5"/>
        <v>0</v>
      </c>
      <c r="Z52" s="151">
        <f t="shared" si="5"/>
        <v>0</v>
      </c>
      <c r="AA52" s="151">
        <f t="shared" si="5"/>
        <v>0</v>
      </c>
      <c r="AB52" s="151">
        <f t="shared" si="5"/>
        <v>0</v>
      </c>
      <c r="AC52" s="152">
        <f t="shared" si="5"/>
        <v>0</v>
      </c>
    </row>
    <row r="53" spans="1:29" ht="43.75" customHeight="1" x14ac:dyDescent="0.15">
      <c r="A53" s="77"/>
      <c r="B53" s="168" t="s">
        <v>80</v>
      </c>
      <c r="C53" s="114"/>
      <c r="D53" s="169">
        <f>SUM(D52)</f>
        <v>-66500</v>
      </c>
      <c r="E53" s="169">
        <f>SUM($D$52:E52)</f>
        <v>-40261.219147344804</v>
      </c>
      <c r="F53" s="169">
        <f>SUM($D$52:F52)</f>
        <v>-14996.110499790495</v>
      </c>
      <c r="G53" s="169">
        <f>SUM($D$52:G52)</f>
        <v>9331.4777512782675</v>
      </c>
      <c r="H53" s="169">
        <f>SUM($D$52:H52)</f>
        <v>32756.354166217432</v>
      </c>
      <c r="I53" s="169">
        <f>SUM($D$52:I52)</f>
        <v>55312.034010722709</v>
      </c>
      <c r="J53" s="169">
        <f>SUM($D$52:J52)</f>
        <v>77030.787349680148</v>
      </c>
      <c r="K53" s="169">
        <f>SUM($D$52:K52)</f>
        <v>97943.685350599917</v>
      </c>
      <c r="L53" s="169">
        <f>SUM($D$52:L52)</f>
        <v>118080.64486337613</v>
      </c>
      <c r="M53" s="169">
        <f>SUM($D$52:M52)</f>
        <v>137470.47134062316</v>
      </c>
      <c r="N53" s="169">
        <f>SUM($D$52:N52)</f>
        <v>156140.90016044019</v>
      </c>
      <c r="O53" s="169">
        <f>SUM($D$52:O52)</f>
        <v>174118.63641114629</v>
      </c>
      <c r="P53" s="169">
        <f>SUM($D$52:P52)</f>
        <v>191429.39319530621</v>
      </c>
      <c r="Q53" s="169">
        <f>SUM($D$52:Q52)</f>
        <v>208097.92850822624</v>
      </c>
      <c r="R53" s="169">
        <f>SUM($D$52:R52)</f>
        <v>224148.08074404119</v>
      </c>
      <c r="S53" s="169">
        <f>SUM($D$52:S52)</f>
        <v>239602.80288053022</v>
      </c>
      <c r="T53" s="169">
        <f>SUM($D$52:T52)</f>
        <v>239602.80288053022</v>
      </c>
      <c r="U53" s="169">
        <f>SUM($D$52:U52)</f>
        <v>239602.80288053022</v>
      </c>
      <c r="V53" s="169">
        <f>SUM($D$52:V52)</f>
        <v>239602.80288053022</v>
      </c>
      <c r="W53" s="169">
        <f>SUM($D$52:W52)</f>
        <v>239602.80288053022</v>
      </c>
      <c r="X53" s="169">
        <f>SUM($D$52:X52)</f>
        <v>239602.80288053022</v>
      </c>
      <c r="Y53" s="169">
        <f>SUM($D$52:Y52)</f>
        <v>239602.80288053022</v>
      </c>
      <c r="Z53" s="169">
        <f>SUM($D$52:Z52)</f>
        <v>239602.80288053022</v>
      </c>
      <c r="AA53" s="169">
        <f>SUM($D$52:AA52)</f>
        <v>239602.80288053022</v>
      </c>
      <c r="AB53" s="169">
        <f>SUM($D$52:AB52)</f>
        <v>239602.80288053022</v>
      </c>
      <c r="AC53" s="170">
        <f>SUM($D$52:AC52)</f>
        <v>239602.80288053022</v>
      </c>
    </row>
    <row r="54" spans="1:29" ht="25.5" customHeight="1" x14ac:dyDescent="0.15">
      <c r="A54" s="136"/>
      <c r="B54" s="171" t="s">
        <v>81</v>
      </c>
      <c r="C54" s="172"/>
      <c r="D54" s="173">
        <f>SUM(D52:AC52)</f>
        <v>239602.80288053022</v>
      </c>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5"/>
    </row>
    <row r="55" spans="1:29" ht="24.5" customHeight="1" x14ac:dyDescent="0.15">
      <c r="A55" s="6"/>
      <c r="B55" s="7"/>
      <c r="C55" s="176"/>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8"/>
    </row>
    <row r="56" spans="1:29" ht="24.5" customHeight="1" x14ac:dyDescent="0.15">
      <c r="A56" s="6"/>
      <c r="B56" s="74" t="s">
        <v>82</v>
      </c>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1"/>
    </row>
    <row r="57" spans="1:29" ht="25.5" customHeight="1" x14ac:dyDescent="0.15">
      <c r="A57" s="77"/>
      <c r="B57" s="113" t="s">
        <v>65</v>
      </c>
      <c r="C57" s="114"/>
      <c r="D57" s="115">
        <v>0</v>
      </c>
      <c r="E57" s="115">
        <v>1</v>
      </c>
      <c r="F57" s="115">
        <v>2</v>
      </c>
      <c r="G57" s="115">
        <v>3</v>
      </c>
      <c r="H57" s="115">
        <v>4</v>
      </c>
      <c r="I57" s="115">
        <v>5</v>
      </c>
      <c r="J57" s="115">
        <v>6</v>
      </c>
      <c r="K57" s="115">
        <v>7</v>
      </c>
      <c r="L57" s="115">
        <v>8</v>
      </c>
      <c r="M57" s="115">
        <v>9</v>
      </c>
      <c r="N57" s="115">
        <v>10</v>
      </c>
      <c r="O57" s="115">
        <v>11</v>
      </c>
      <c r="P57" s="115">
        <v>12</v>
      </c>
      <c r="Q57" s="115">
        <v>13</v>
      </c>
      <c r="R57" s="115">
        <v>14</v>
      </c>
      <c r="S57" s="115">
        <v>15</v>
      </c>
      <c r="T57" s="115">
        <v>16</v>
      </c>
      <c r="U57" s="115">
        <v>17</v>
      </c>
      <c r="V57" s="115">
        <v>18</v>
      </c>
      <c r="W57" s="115">
        <v>19</v>
      </c>
      <c r="X57" s="115">
        <v>20</v>
      </c>
      <c r="Y57" s="115">
        <v>21</v>
      </c>
      <c r="Z57" s="115">
        <v>22</v>
      </c>
      <c r="AA57" s="115">
        <v>23</v>
      </c>
      <c r="AB57" s="115">
        <v>24</v>
      </c>
      <c r="AC57" s="116">
        <v>25</v>
      </c>
    </row>
    <row r="58" spans="1:29" ht="25.5" customHeight="1" x14ac:dyDescent="0.15">
      <c r="A58" s="77"/>
      <c r="B58" s="117" t="s">
        <v>66</v>
      </c>
      <c r="C58" s="118">
        <f>D32</f>
        <v>0.09</v>
      </c>
      <c r="D58" s="119"/>
      <c r="E58" s="120"/>
      <c r="F58" s="8"/>
      <c r="G58" s="8"/>
      <c r="H58" s="8"/>
      <c r="I58" s="8"/>
      <c r="J58" s="8"/>
      <c r="K58" s="8"/>
      <c r="L58" s="8"/>
      <c r="M58" s="8"/>
      <c r="N58" s="8"/>
      <c r="O58" s="8"/>
      <c r="P58" s="8"/>
      <c r="Q58" s="8"/>
      <c r="R58" s="8"/>
      <c r="S58" s="8"/>
      <c r="T58" s="8"/>
      <c r="U58" s="8"/>
      <c r="V58" s="8"/>
      <c r="W58" s="8"/>
      <c r="X58" s="8"/>
      <c r="Y58" s="8"/>
      <c r="Z58" s="8"/>
      <c r="AA58" s="8"/>
      <c r="AB58" s="8"/>
      <c r="AC58" s="121"/>
    </row>
    <row r="59" spans="1:29" ht="25.5" customHeight="1" x14ac:dyDescent="0.15">
      <c r="A59" s="77"/>
      <c r="B59" s="122" t="s">
        <v>67</v>
      </c>
      <c r="C59" s="123">
        <f>D29</f>
        <v>1.4999999999999999E-2</v>
      </c>
      <c r="D59" s="124"/>
      <c r="E59" s="125"/>
      <c r="F59" s="322"/>
      <c r="G59" s="323"/>
      <c r="H59" s="323"/>
      <c r="I59" s="323"/>
      <c r="J59" s="323"/>
      <c r="K59" s="323"/>
      <c r="L59" s="323"/>
      <c r="M59" s="323"/>
      <c r="N59" s="125"/>
      <c r="O59" s="125"/>
      <c r="P59" s="125"/>
      <c r="Q59" s="125"/>
      <c r="R59" s="125"/>
      <c r="S59" s="125"/>
      <c r="T59" s="125"/>
      <c r="U59" s="125"/>
      <c r="V59" s="125"/>
      <c r="W59" s="125"/>
      <c r="X59" s="125"/>
      <c r="Y59" s="125"/>
      <c r="Z59" s="125"/>
      <c r="AA59" s="125"/>
      <c r="AB59" s="125"/>
      <c r="AC59" s="127"/>
    </row>
    <row r="60" spans="1:29" ht="25.5" customHeight="1" x14ac:dyDescent="0.15">
      <c r="A60" s="77"/>
      <c r="B60" s="122" t="s">
        <v>68</v>
      </c>
      <c r="C60" s="123">
        <f>D30</f>
        <v>0.03</v>
      </c>
      <c r="D60" s="124"/>
      <c r="E60" s="125"/>
      <c r="F60" s="323"/>
      <c r="G60" s="323"/>
      <c r="H60" s="323"/>
      <c r="I60" s="323"/>
      <c r="J60" s="323"/>
      <c r="K60" s="323"/>
      <c r="L60" s="323"/>
      <c r="M60" s="323"/>
      <c r="N60" s="125"/>
      <c r="O60" s="125"/>
      <c r="P60" s="125"/>
      <c r="Q60" s="125"/>
      <c r="R60" s="125"/>
      <c r="S60" s="125"/>
      <c r="T60" s="125"/>
      <c r="U60" s="125"/>
      <c r="V60" s="125"/>
      <c r="W60" s="125"/>
      <c r="X60" s="125"/>
      <c r="Y60" s="125"/>
      <c r="Z60" s="125"/>
      <c r="AA60" s="125"/>
      <c r="AB60" s="125"/>
      <c r="AC60" s="127"/>
    </row>
    <row r="61" spans="1:29" ht="25.5" customHeight="1" x14ac:dyDescent="0.15">
      <c r="A61" s="77"/>
      <c r="B61" s="122" t="s">
        <v>69</v>
      </c>
      <c r="C61" s="128">
        <f>C40</f>
        <v>0.18</v>
      </c>
      <c r="D61" s="124"/>
      <c r="E61" s="125"/>
      <c r="F61" s="323"/>
      <c r="G61" s="323"/>
      <c r="H61" s="323"/>
      <c r="I61" s="323"/>
      <c r="J61" s="323"/>
      <c r="K61" s="323"/>
      <c r="L61" s="323"/>
      <c r="M61" s="323"/>
      <c r="N61" s="125"/>
      <c r="O61" s="125"/>
      <c r="P61" s="125"/>
      <c r="Q61" s="125"/>
      <c r="R61" s="125"/>
      <c r="S61" s="125"/>
      <c r="T61" s="125"/>
      <c r="U61" s="125"/>
      <c r="V61" s="125"/>
      <c r="W61" s="125"/>
      <c r="X61" s="125"/>
      <c r="Y61" s="125"/>
      <c r="Z61" s="125"/>
      <c r="AA61" s="125"/>
      <c r="AB61" s="125"/>
      <c r="AC61" s="127"/>
    </row>
    <row r="62" spans="1:29" ht="25.5" customHeight="1" x14ac:dyDescent="0.15">
      <c r="A62" s="77"/>
      <c r="B62" s="122" t="s">
        <v>70</v>
      </c>
      <c r="C62" s="182">
        <f>D31</f>
        <v>7.5</v>
      </c>
      <c r="D62" s="124"/>
      <c r="E62" s="125"/>
      <c r="F62" s="9"/>
      <c r="G62" s="9"/>
      <c r="H62" s="9"/>
      <c r="I62" s="9"/>
      <c r="J62" s="9"/>
      <c r="K62" s="9"/>
      <c r="L62" s="9"/>
      <c r="M62" s="9"/>
      <c r="N62" s="9"/>
      <c r="O62" s="9"/>
      <c r="P62" s="9"/>
      <c r="Q62" s="9"/>
      <c r="R62" s="9"/>
      <c r="S62" s="9"/>
      <c r="T62" s="9"/>
      <c r="U62" s="9"/>
      <c r="V62" s="9"/>
      <c r="W62" s="9"/>
      <c r="X62" s="9"/>
      <c r="Y62" s="9"/>
      <c r="Z62" s="9"/>
      <c r="AA62" s="9"/>
      <c r="AB62" s="9"/>
      <c r="AC62" s="130"/>
    </row>
    <row r="63" spans="1:29" ht="25.5" customHeight="1" x14ac:dyDescent="0.15">
      <c r="A63" s="77"/>
      <c r="B63" s="131" t="s">
        <v>71</v>
      </c>
      <c r="C63" s="132"/>
      <c r="D63" s="133">
        <f t="shared" ref="D63:AC63" si="6">IF($C62&gt;=D57,1,0)</f>
        <v>1</v>
      </c>
      <c r="E63" s="134">
        <f t="shared" si="6"/>
        <v>1</v>
      </c>
      <c r="F63" s="134">
        <f t="shared" si="6"/>
        <v>1</v>
      </c>
      <c r="G63" s="134">
        <f t="shared" si="6"/>
        <v>1</v>
      </c>
      <c r="H63" s="134">
        <f t="shared" si="6"/>
        <v>1</v>
      </c>
      <c r="I63" s="134">
        <f t="shared" si="6"/>
        <v>1</v>
      </c>
      <c r="J63" s="134">
        <f t="shared" si="6"/>
        <v>1</v>
      </c>
      <c r="K63" s="134">
        <f t="shared" si="6"/>
        <v>1</v>
      </c>
      <c r="L63" s="134">
        <f t="shared" si="6"/>
        <v>0</v>
      </c>
      <c r="M63" s="134">
        <f t="shared" si="6"/>
        <v>0</v>
      </c>
      <c r="N63" s="134">
        <f t="shared" si="6"/>
        <v>0</v>
      </c>
      <c r="O63" s="134">
        <f t="shared" si="6"/>
        <v>0</v>
      </c>
      <c r="P63" s="134">
        <f t="shared" si="6"/>
        <v>0</v>
      </c>
      <c r="Q63" s="134">
        <f t="shared" si="6"/>
        <v>0</v>
      </c>
      <c r="R63" s="134">
        <f t="shared" si="6"/>
        <v>0</v>
      </c>
      <c r="S63" s="134">
        <f t="shared" si="6"/>
        <v>0</v>
      </c>
      <c r="T63" s="134">
        <f t="shared" si="6"/>
        <v>0</v>
      </c>
      <c r="U63" s="134">
        <f t="shared" si="6"/>
        <v>0</v>
      </c>
      <c r="V63" s="134">
        <f t="shared" si="6"/>
        <v>0</v>
      </c>
      <c r="W63" s="134">
        <f t="shared" si="6"/>
        <v>0</v>
      </c>
      <c r="X63" s="134">
        <f t="shared" si="6"/>
        <v>0</v>
      </c>
      <c r="Y63" s="134">
        <f t="shared" si="6"/>
        <v>0</v>
      </c>
      <c r="Z63" s="134">
        <f t="shared" si="6"/>
        <v>0</v>
      </c>
      <c r="AA63" s="134">
        <f t="shared" si="6"/>
        <v>0</v>
      </c>
      <c r="AB63" s="134">
        <f t="shared" si="6"/>
        <v>0</v>
      </c>
      <c r="AC63" s="135">
        <f t="shared" si="6"/>
        <v>0</v>
      </c>
    </row>
    <row r="64" spans="1:29" ht="25.5" customHeight="1" x14ac:dyDescent="0.15">
      <c r="A64" s="77"/>
      <c r="B64" s="117" t="s">
        <v>83</v>
      </c>
      <c r="C64" s="183" t="s">
        <v>73</v>
      </c>
      <c r="D64" s="184"/>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6"/>
    </row>
    <row r="65" spans="1:29" ht="25.5" customHeight="1" x14ac:dyDescent="0.15">
      <c r="A65" s="77"/>
      <c r="B65" s="122" t="str">
        <f>$B44</f>
        <v>Investitionsauszahlung komplett</v>
      </c>
      <c r="C65" s="187">
        <f>D27</f>
        <v>85000</v>
      </c>
      <c r="D65" s="143">
        <f>-C65</f>
        <v>-85000</v>
      </c>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5"/>
    </row>
    <row r="66" spans="1:29" ht="25.5" customHeight="1" x14ac:dyDescent="0.15">
      <c r="A66" s="77"/>
      <c r="B66" s="122" t="str">
        <f>$B45</f>
        <v>Planungskosten</v>
      </c>
      <c r="C66" s="188">
        <f>C45</f>
        <v>5000</v>
      </c>
      <c r="D66" s="143">
        <f>-C66</f>
        <v>-5000</v>
      </c>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5"/>
    </row>
    <row r="67" spans="1:29" ht="25.5" customHeight="1" x14ac:dyDescent="0.15">
      <c r="A67" s="77"/>
      <c r="B67" s="131" t="str">
        <f>$B46</f>
        <v>Produktionsausfälle bei der Inbetriebnahme</v>
      </c>
      <c r="C67" s="189">
        <f>C46</f>
        <v>3000</v>
      </c>
      <c r="D67" s="150">
        <f>-C67</f>
        <v>-3000</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2"/>
    </row>
    <row r="68" spans="1:29" ht="25.5" customHeight="1" x14ac:dyDescent="0.15">
      <c r="A68" s="77"/>
      <c r="B68" s="117" t="s">
        <v>84</v>
      </c>
      <c r="C68" s="183" t="s">
        <v>73</v>
      </c>
      <c r="D68" s="164"/>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6"/>
    </row>
    <row r="69" spans="1:29" ht="25.5" customHeight="1" x14ac:dyDescent="0.15">
      <c r="A69" s="77"/>
      <c r="B69" s="122" t="str">
        <f>$B48</f>
        <v>Energieeinsparungen jährlich</v>
      </c>
      <c r="C69" s="190">
        <f>D28</f>
        <v>100000</v>
      </c>
      <c r="D69" s="143"/>
      <c r="E69" s="144">
        <f t="shared" ref="E69:AC69" si="7">$C$69*$C$61*(1+$C$59)^E57</f>
        <v>18270</v>
      </c>
      <c r="F69" s="144">
        <f t="shared" si="7"/>
        <v>18544.049999999996</v>
      </c>
      <c r="G69" s="144">
        <f t="shared" si="7"/>
        <v>18822.210749999991</v>
      </c>
      <c r="H69" s="144">
        <f t="shared" si="7"/>
        <v>19104.543911249988</v>
      </c>
      <c r="I69" s="144">
        <f t="shared" si="7"/>
        <v>19391.112069918738</v>
      </c>
      <c r="J69" s="144">
        <f t="shared" si="7"/>
        <v>19681.978750967515</v>
      </c>
      <c r="K69" s="144">
        <f t="shared" si="7"/>
        <v>19977.208432232022</v>
      </c>
      <c r="L69" s="144">
        <f t="shared" si="7"/>
        <v>20276.866558715501</v>
      </c>
      <c r="M69" s="144">
        <f t="shared" si="7"/>
        <v>20581.019557096231</v>
      </c>
      <c r="N69" s="144">
        <f t="shared" si="7"/>
        <v>20889.734850452674</v>
      </c>
      <c r="O69" s="144">
        <f t="shared" si="7"/>
        <v>21203.080873209463</v>
      </c>
      <c r="P69" s="144">
        <f t="shared" si="7"/>
        <v>21521.127086307599</v>
      </c>
      <c r="Q69" s="144">
        <f t="shared" si="7"/>
        <v>21843.94399260221</v>
      </c>
      <c r="R69" s="144">
        <f t="shared" si="7"/>
        <v>22171.60315249124</v>
      </c>
      <c r="S69" s="144">
        <f t="shared" si="7"/>
        <v>22504.177199778605</v>
      </c>
      <c r="T69" s="144">
        <f t="shared" si="7"/>
        <v>22841.739857775279</v>
      </c>
      <c r="U69" s="144">
        <f t="shared" si="7"/>
        <v>23184.365955641908</v>
      </c>
      <c r="V69" s="144">
        <f t="shared" si="7"/>
        <v>23532.131444976534</v>
      </c>
      <c r="W69" s="144">
        <f t="shared" si="7"/>
        <v>23885.11341665118</v>
      </c>
      <c r="X69" s="144">
        <f t="shared" si="7"/>
        <v>24243.390117900941</v>
      </c>
      <c r="Y69" s="144">
        <f t="shared" si="7"/>
        <v>24607.040969669451</v>
      </c>
      <c r="Z69" s="144">
        <f t="shared" si="7"/>
        <v>24976.14658421449</v>
      </c>
      <c r="AA69" s="144">
        <f t="shared" si="7"/>
        <v>25350.788782977703</v>
      </c>
      <c r="AB69" s="144">
        <f t="shared" si="7"/>
        <v>25731.050614722364</v>
      </c>
      <c r="AC69" s="145">
        <f t="shared" si="7"/>
        <v>26117.016373943199</v>
      </c>
    </row>
    <row r="70" spans="1:29" ht="25.5" customHeight="1" x14ac:dyDescent="0.15">
      <c r="A70" s="77"/>
      <c r="B70" s="122" t="str">
        <f>$B49</f>
        <v>Geringere Wartung</v>
      </c>
      <c r="C70" s="188">
        <f>C49</f>
        <v>250</v>
      </c>
      <c r="D70" s="143"/>
      <c r="E70" s="144">
        <f t="shared" ref="E70:AC70" si="8">$C$70*(1+$C$60)^E57</f>
        <v>257.5</v>
      </c>
      <c r="F70" s="144">
        <f t="shared" si="8"/>
        <v>265.22499999999997</v>
      </c>
      <c r="G70" s="144">
        <f t="shared" si="8"/>
        <v>273.18175000000002</v>
      </c>
      <c r="H70" s="144">
        <f t="shared" si="8"/>
        <v>281.37720249999995</v>
      </c>
      <c r="I70" s="144">
        <f t="shared" si="8"/>
        <v>289.81851857499998</v>
      </c>
      <c r="J70" s="144">
        <f t="shared" si="8"/>
        <v>298.51307413224998</v>
      </c>
      <c r="K70" s="144">
        <f t="shared" si="8"/>
        <v>307.4684663562175</v>
      </c>
      <c r="L70" s="144">
        <f t="shared" si="8"/>
        <v>316.69252034690396</v>
      </c>
      <c r="M70" s="144">
        <f t="shared" si="8"/>
        <v>326.19329595731114</v>
      </c>
      <c r="N70" s="144">
        <f t="shared" si="8"/>
        <v>335.97909483603047</v>
      </c>
      <c r="O70" s="144">
        <f t="shared" si="8"/>
        <v>346.05846768111138</v>
      </c>
      <c r="P70" s="144">
        <f t="shared" si="8"/>
        <v>356.44022171154467</v>
      </c>
      <c r="Q70" s="144">
        <f t="shared" si="8"/>
        <v>367.13342836289098</v>
      </c>
      <c r="R70" s="144">
        <f t="shared" si="8"/>
        <v>378.14743121377774</v>
      </c>
      <c r="S70" s="144">
        <f t="shared" si="8"/>
        <v>389.4918541501911</v>
      </c>
      <c r="T70" s="144">
        <f t="shared" si="8"/>
        <v>401.17660977469677</v>
      </c>
      <c r="U70" s="144">
        <f t="shared" si="8"/>
        <v>413.21190806793766</v>
      </c>
      <c r="V70" s="144">
        <f t="shared" si="8"/>
        <v>425.60826530997582</v>
      </c>
      <c r="W70" s="144">
        <f t="shared" si="8"/>
        <v>438.37651326927505</v>
      </c>
      <c r="X70" s="144">
        <f t="shared" si="8"/>
        <v>451.52780866735333</v>
      </c>
      <c r="Y70" s="144">
        <f t="shared" si="8"/>
        <v>465.07364292737384</v>
      </c>
      <c r="Z70" s="144">
        <f t="shared" si="8"/>
        <v>479.02585221519513</v>
      </c>
      <c r="AA70" s="144">
        <f t="shared" si="8"/>
        <v>493.39662778165098</v>
      </c>
      <c r="AB70" s="144">
        <f t="shared" si="8"/>
        <v>508.19852661510043</v>
      </c>
      <c r="AC70" s="145">
        <f t="shared" si="8"/>
        <v>523.44448241355349</v>
      </c>
    </row>
    <row r="71" spans="1:29" ht="25.5" customHeight="1" x14ac:dyDescent="0.15">
      <c r="A71" s="77"/>
      <c r="B71" s="131" t="str">
        <f>$B50</f>
        <v>Schrottwert alter Pumpen</v>
      </c>
      <c r="C71" s="189">
        <f>C50</f>
        <v>1500</v>
      </c>
      <c r="D71" s="150">
        <f>C71</f>
        <v>1500</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2"/>
    </row>
    <row r="72" spans="1:29" ht="25.5" customHeight="1" x14ac:dyDescent="0.15">
      <c r="A72" s="77"/>
      <c r="B72" s="117" t="s">
        <v>78</v>
      </c>
      <c r="C72" s="163"/>
      <c r="D72" s="164">
        <f t="shared" ref="D72:AC72" si="9">(SUM(D65:D67)+SUM(D69:D71))*D63</f>
        <v>-91500</v>
      </c>
      <c r="E72" s="165">
        <f t="shared" si="9"/>
        <v>18527.5</v>
      </c>
      <c r="F72" s="165">
        <f t="shared" si="9"/>
        <v>18809.274999999994</v>
      </c>
      <c r="G72" s="165">
        <f t="shared" si="9"/>
        <v>19095.392499999991</v>
      </c>
      <c r="H72" s="165">
        <f t="shared" si="9"/>
        <v>19385.921113749988</v>
      </c>
      <c r="I72" s="165">
        <f t="shared" si="9"/>
        <v>19680.930588493738</v>
      </c>
      <c r="J72" s="165">
        <f t="shared" si="9"/>
        <v>19980.491825099765</v>
      </c>
      <c r="K72" s="165">
        <f t="shared" si="9"/>
        <v>20284.676898588241</v>
      </c>
      <c r="L72" s="165">
        <f t="shared" si="9"/>
        <v>0</v>
      </c>
      <c r="M72" s="165">
        <f t="shared" si="9"/>
        <v>0</v>
      </c>
      <c r="N72" s="165">
        <f t="shared" si="9"/>
        <v>0</v>
      </c>
      <c r="O72" s="165">
        <f t="shared" si="9"/>
        <v>0</v>
      </c>
      <c r="P72" s="165">
        <f t="shared" si="9"/>
        <v>0</v>
      </c>
      <c r="Q72" s="165">
        <f t="shared" si="9"/>
        <v>0</v>
      </c>
      <c r="R72" s="165">
        <f t="shared" si="9"/>
        <v>0</v>
      </c>
      <c r="S72" s="165">
        <f t="shared" si="9"/>
        <v>0</v>
      </c>
      <c r="T72" s="165">
        <f t="shared" si="9"/>
        <v>0</v>
      </c>
      <c r="U72" s="165">
        <f t="shared" si="9"/>
        <v>0</v>
      </c>
      <c r="V72" s="165">
        <f t="shared" si="9"/>
        <v>0</v>
      </c>
      <c r="W72" s="165">
        <f t="shared" si="9"/>
        <v>0</v>
      </c>
      <c r="X72" s="165">
        <f t="shared" si="9"/>
        <v>0</v>
      </c>
      <c r="Y72" s="165">
        <f t="shared" si="9"/>
        <v>0</v>
      </c>
      <c r="Z72" s="165">
        <f t="shared" si="9"/>
        <v>0</v>
      </c>
      <c r="AA72" s="165">
        <f t="shared" si="9"/>
        <v>0</v>
      </c>
      <c r="AB72" s="165">
        <f t="shared" si="9"/>
        <v>0</v>
      </c>
      <c r="AC72" s="166">
        <f t="shared" si="9"/>
        <v>0</v>
      </c>
    </row>
    <row r="73" spans="1:29" ht="25.5" customHeight="1" x14ac:dyDescent="0.15">
      <c r="A73" s="77"/>
      <c r="B73" s="131" t="s">
        <v>79</v>
      </c>
      <c r="C73" s="191"/>
      <c r="D73" s="150">
        <f t="shared" ref="D73:AC73" si="10">(D72)/(1+$C$58)^D57</f>
        <v>-91500</v>
      </c>
      <c r="E73" s="151">
        <f t="shared" si="10"/>
        <v>16997.706422018346</v>
      </c>
      <c r="F73" s="151">
        <f t="shared" si="10"/>
        <v>15831.39045534887</v>
      </c>
      <c r="G73" s="151">
        <f t="shared" si="10"/>
        <v>14745.146633781937</v>
      </c>
      <c r="H73" s="151">
        <f t="shared" si="10"/>
        <v>13733.475256701584</v>
      </c>
      <c r="I73" s="151">
        <f t="shared" si="10"/>
        <v>12791.254501021243</v>
      </c>
      <c r="J73" s="151">
        <f t="shared" si="10"/>
        <v>11913.71445028426</v>
      </c>
      <c r="K73" s="151">
        <f t="shared" si="10"/>
        <v>11096.412909109902</v>
      </c>
      <c r="L73" s="151">
        <f t="shared" si="10"/>
        <v>0</v>
      </c>
      <c r="M73" s="151">
        <f t="shared" si="10"/>
        <v>0</v>
      </c>
      <c r="N73" s="151">
        <f t="shared" si="10"/>
        <v>0</v>
      </c>
      <c r="O73" s="151">
        <f t="shared" si="10"/>
        <v>0</v>
      </c>
      <c r="P73" s="151">
        <f t="shared" si="10"/>
        <v>0</v>
      </c>
      <c r="Q73" s="151">
        <f t="shared" si="10"/>
        <v>0</v>
      </c>
      <c r="R73" s="151">
        <f t="shared" si="10"/>
        <v>0</v>
      </c>
      <c r="S73" s="151">
        <f t="shared" si="10"/>
        <v>0</v>
      </c>
      <c r="T73" s="151">
        <f t="shared" si="10"/>
        <v>0</v>
      </c>
      <c r="U73" s="151">
        <f t="shared" si="10"/>
        <v>0</v>
      </c>
      <c r="V73" s="151">
        <f t="shared" si="10"/>
        <v>0</v>
      </c>
      <c r="W73" s="151">
        <f t="shared" si="10"/>
        <v>0</v>
      </c>
      <c r="X73" s="151">
        <f t="shared" si="10"/>
        <v>0</v>
      </c>
      <c r="Y73" s="151">
        <f t="shared" si="10"/>
        <v>0</v>
      </c>
      <c r="Z73" s="151">
        <f t="shared" si="10"/>
        <v>0</v>
      </c>
      <c r="AA73" s="151">
        <f t="shared" si="10"/>
        <v>0</v>
      </c>
      <c r="AB73" s="151">
        <f t="shared" si="10"/>
        <v>0</v>
      </c>
      <c r="AC73" s="152">
        <f t="shared" si="10"/>
        <v>0</v>
      </c>
    </row>
    <row r="74" spans="1:29" ht="25.5" customHeight="1" x14ac:dyDescent="0.15">
      <c r="A74" s="136"/>
      <c r="B74" s="171" t="s">
        <v>81</v>
      </c>
      <c r="C74" s="192"/>
      <c r="D74" s="173">
        <f>SUM(D73:AC73)</f>
        <v>5609.1006282661438</v>
      </c>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5"/>
    </row>
    <row r="75" spans="1:29" ht="24.5" customHeight="1" x14ac:dyDescent="0.15">
      <c r="A75" s="6"/>
      <c r="B75" s="7"/>
      <c r="C75" s="176"/>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8"/>
    </row>
    <row r="76" spans="1:29" ht="24.5" customHeight="1" x14ac:dyDescent="0.15">
      <c r="A76" s="6"/>
      <c r="B76" s="74" t="s">
        <v>85</v>
      </c>
      <c r="C76" s="179"/>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1"/>
    </row>
    <row r="77" spans="1:29" ht="25.5" customHeight="1" x14ac:dyDescent="0.15">
      <c r="A77" s="77"/>
      <c r="B77" s="113" t="s">
        <v>65</v>
      </c>
      <c r="C77" s="114"/>
      <c r="D77" s="115">
        <v>0</v>
      </c>
      <c r="E77" s="115">
        <v>1</v>
      </c>
      <c r="F77" s="115">
        <v>2</v>
      </c>
      <c r="G77" s="115">
        <v>3</v>
      </c>
      <c r="H77" s="115">
        <v>4</v>
      </c>
      <c r="I77" s="115">
        <v>5</v>
      </c>
      <c r="J77" s="115">
        <v>6</v>
      </c>
      <c r="K77" s="115">
        <v>7</v>
      </c>
      <c r="L77" s="115">
        <v>8</v>
      </c>
      <c r="M77" s="115">
        <v>9</v>
      </c>
      <c r="N77" s="115">
        <v>10</v>
      </c>
      <c r="O77" s="115">
        <v>11</v>
      </c>
      <c r="P77" s="115">
        <v>12</v>
      </c>
      <c r="Q77" s="115">
        <v>13</v>
      </c>
      <c r="R77" s="115">
        <v>14</v>
      </c>
      <c r="S77" s="115">
        <v>15</v>
      </c>
      <c r="T77" s="115">
        <v>16</v>
      </c>
      <c r="U77" s="115">
        <v>17</v>
      </c>
      <c r="V77" s="115">
        <v>18</v>
      </c>
      <c r="W77" s="115">
        <v>19</v>
      </c>
      <c r="X77" s="115">
        <v>20</v>
      </c>
      <c r="Y77" s="115">
        <v>21</v>
      </c>
      <c r="Z77" s="115">
        <v>22</v>
      </c>
      <c r="AA77" s="115">
        <v>23</v>
      </c>
      <c r="AB77" s="115">
        <v>24</v>
      </c>
      <c r="AC77" s="116">
        <v>25</v>
      </c>
    </row>
    <row r="78" spans="1:29" ht="25.5" customHeight="1" x14ac:dyDescent="0.15">
      <c r="A78" s="77"/>
      <c r="B78" s="117" t="s">
        <v>66</v>
      </c>
      <c r="C78" s="118">
        <f>E32</f>
        <v>0.05</v>
      </c>
      <c r="D78" s="119"/>
      <c r="E78" s="120"/>
      <c r="F78" s="8"/>
      <c r="G78" s="8"/>
      <c r="H78" s="8"/>
      <c r="I78" s="8"/>
      <c r="J78" s="8"/>
      <c r="K78" s="8"/>
      <c r="L78" s="8"/>
      <c r="M78" s="8"/>
      <c r="N78" s="8"/>
      <c r="O78" s="8"/>
      <c r="P78" s="8"/>
      <c r="Q78" s="8"/>
      <c r="R78" s="8"/>
      <c r="S78" s="8"/>
      <c r="T78" s="8"/>
      <c r="U78" s="8"/>
      <c r="V78" s="8"/>
      <c r="W78" s="8"/>
      <c r="X78" s="8"/>
      <c r="Y78" s="8"/>
      <c r="Z78" s="8"/>
      <c r="AA78" s="8"/>
      <c r="AB78" s="8"/>
      <c r="AC78" s="121"/>
    </row>
    <row r="79" spans="1:29" ht="25.5" customHeight="1" x14ac:dyDescent="0.15">
      <c r="A79" s="77"/>
      <c r="B79" s="122" t="s">
        <v>67</v>
      </c>
      <c r="C79" s="123">
        <f>E29</f>
        <v>4.4999999999999998E-2</v>
      </c>
      <c r="D79" s="124"/>
      <c r="E79" s="125"/>
      <c r="F79" s="322"/>
      <c r="G79" s="323"/>
      <c r="H79" s="323"/>
      <c r="I79" s="323"/>
      <c r="J79" s="323"/>
      <c r="K79" s="323"/>
      <c r="L79" s="323"/>
      <c r="M79" s="323"/>
      <c r="N79" s="125"/>
      <c r="O79" s="125"/>
      <c r="P79" s="125"/>
      <c r="Q79" s="125"/>
      <c r="R79" s="125"/>
      <c r="S79" s="125"/>
      <c r="T79" s="125"/>
      <c r="U79" s="125"/>
      <c r="V79" s="125"/>
      <c r="W79" s="125"/>
      <c r="X79" s="125"/>
      <c r="Y79" s="125"/>
      <c r="Z79" s="125"/>
      <c r="AA79" s="125"/>
      <c r="AB79" s="125"/>
      <c r="AC79" s="127"/>
    </row>
    <row r="80" spans="1:29" ht="25.5" customHeight="1" x14ac:dyDescent="0.15">
      <c r="A80" s="77"/>
      <c r="B80" s="122" t="s">
        <v>68</v>
      </c>
      <c r="C80" s="123">
        <f>E30</f>
        <v>1.4999999999999999E-2</v>
      </c>
      <c r="D80" s="124"/>
      <c r="E80" s="125"/>
      <c r="F80" s="323"/>
      <c r="G80" s="323"/>
      <c r="H80" s="323"/>
      <c r="I80" s="323"/>
      <c r="J80" s="323"/>
      <c r="K80" s="323"/>
      <c r="L80" s="323"/>
      <c r="M80" s="323"/>
      <c r="N80" s="125"/>
      <c r="O80" s="125"/>
      <c r="P80" s="125"/>
      <c r="Q80" s="125"/>
      <c r="R80" s="125"/>
      <c r="S80" s="125"/>
      <c r="T80" s="125"/>
      <c r="U80" s="125"/>
      <c r="V80" s="125"/>
      <c r="W80" s="125"/>
      <c r="X80" s="125"/>
      <c r="Y80" s="125"/>
      <c r="Z80" s="125"/>
      <c r="AA80" s="125"/>
      <c r="AB80" s="125"/>
      <c r="AC80" s="127"/>
    </row>
    <row r="81" spans="1:29" ht="25.5" customHeight="1" x14ac:dyDescent="0.15">
      <c r="A81" s="77"/>
      <c r="B81" s="122" t="s">
        <v>69</v>
      </c>
      <c r="C81" s="128">
        <f>C61</f>
        <v>0.18</v>
      </c>
      <c r="D81" s="124"/>
      <c r="E81" s="125"/>
      <c r="F81" s="323"/>
      <c r="G81" s="323"/>
      <c r="H81" s="323"/>
      <c r="I81" s="323"/>
      <c r="J81" s="323"/>
      <c r="K81" s="323"/>
      <c r="L81" s="323"/>
      <c r="M81" s="323"/>
      <c r="N81" s="125"/>
      <c r="O81" s="125"/>
      <c r="P81" s="125"/>
      <c r="Q81" s="125"/>
      <c r="R81" s="125"/>
      <c r="S81" s="125"/>
      <c r="T81" s="125"/>
      <c r="U81" s="125"/>
      <c r="V81" s="125"/>
      <c r="W81" s="125"/>
      <c r="X81" s="125"/>
      <c r="Y81" s="125"/>
      <c r="Z81" s="125"/>
      <c r="AA81" s="125"/>
      <c r="AB81" s="125"/>
      <c r="AC81" s="127"/>
    </row>
    <row r="82" spans="1:29" ht="25.5" customHeight="1" x14ac:dyDescent="0.15">
      <c r="A82" s="77"/>
      <c r="B82" s="122" t="s">
        <v>70</v>
      </c>
      <c r="C82" s="129">
        <f>E31</f>
        <v>20</v>
      </c>
      <c r="D82" s="124"/>
      <c r="E82" s="125"/>
      <c r="F82" s="9"/>
      <c r="G82" s="9"/>
      <c r="H82" s="9"/>
      <c r="I82" s="9"/>
      <c r="J82" s="9"/>
      <c r="K82" s="9"/>
      <c r="L82" s="9"/>
      <c r="M82" s="9"/>
      <c r="N82" s="9"/>
      <c r="O82" s="9"/>
      <c r="P82" s="9"/>
      <c r="Q82" s="9"/>
      <c r="R82" s="9"/>
      <c r="S82" s="9"/>
      <c r="T82" s="9"/>
      <c r="U82" s="9"/>
      <c r="V82" s="9"/>
      <c r="W82" s="9"/>
      <c r="X82" s="9"/>
      <c r="Y82" s="9"/>
      <c r="Z82" s="9"/>
      <c r="AA82" s="9"/>
      <c r="AB82" s="9"/>
      <c r="AC82" s="130"/>
    </row>
    <row r="83" spans="1:29" ht="25.5" customHeight="1" x14ac:dyDescent="0.15">
      <c r="A83" s="77"/>
      <c r="B83" s="131" t="s">
        <v>71</v>
      </c>
      <c r="C83" s="132"/>
      <c r="D83" s="133">
        <f>IF(C82&gt;=D77,1,0)</f>
        <v>1</v>
      </c>
      <c r="E83" s="134">
        <f t="shared" ref="E83:AC83" si="11">IF($C82&gt;=E77,1,0)</f>
        <v>1</v>
      </c>
      <c r="F83" s="134">
        <f t="shared" si="11"/>
        <v>1</v>
      </c>
      <c r="G83" s="134">
        <f t="shared" si="11"/>
        <v>1</v>
      </c>
      <c r="H83" s="134">
        <f t="shared" si="11"/>
        <v>1</v>
      </c>
      <c r="I83" s="134">
        <f t="shared" si="11"/>
        <v>1</v>
      </c>
      <c r="J83" s="134">
        <f t="shared" si="11"/>
        <v>1</v>
      </c>
      <c r="K83" s="134">
        <f t="shared" si="11"/>
        <v>1</v>
      </c>
      <c r="L83" s="134">
        <f t="shared" si="11"/>
        <v>1</v>
      </c>
      <c r="M83" s="134">
        <f t="shared" si="11"/>
        <v>1</v>
      </c>
      <c r="N83" s="134">
        <f t="shared" si="11"/>
        <v>1</v>
      </c>
      <c r="O83" s="134">
        <f t="shared" si="11"/>
        <v>1</v>
      </c>
      <c r="P83" s="134">
        <f t="shared" si="11"/>
        <v>1</v>
      </c>
      <c r="Q83" s="134">
        <f t="shared" si="11"/>
        <v>1</v>
      </c>
      <c r="R83" s="134">
        <f t="shared" si="11"/>
        <v>1</v>
      </c>
      <c r="S83" s="134">
        <f t="shared" si="11"/>
        <v>1</v>
      </c>
      <c r="T83" s="134">
        <f t="shared" si="11"/>
        <v>1</v>
      </c>
      <c r="U83" s="134">
        <f t="shared" si="11"/>
        <v>1</v>
      </c>
      <c r="V83" s="134">
        <f t="shared" si="11"/>
        <v>1</v>
      </c>
      <c r="W83" s="134">
        <f t="shared" si="11"/>
        <v>1</v>
      </c>
      <c r="X83" s="134">
        <f t="shared" si="11"/>
        <v>1</v>
      </c>
      <c r="Y83" s="134">
        <f t="shared" si="11"/>
        <v>0</v>
      </c>
      <c r="Z83" s="134">
        <f t="shared" si="11"/>
        <v>0</v>
      </c>
      <c r="AA83" s="134">
        <f t="shared" si="11"/>
        <v>0</v>
      </c>
      <c r="AB83" s="134">
        <f t="shared" si="11"/>
        <v>0</v>
      </c>
      <c r="AC83" s="135">
        <f t="shared" si="11"/>
        <v>0</v>
      </c>
    </row>
    <row r="84" spans="1:29" ht="25.5" customHeight="1" x14ac:dyDescent="0.15">
      <c r="A84" s="77"/>
      <c r="B84" s="117" t="s">
        <v>83</v>
      </c>
      <c r="C84" s="183" t="s">
        <v>73</v>
      </c>
      <c r="D84" s="184"/>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6"/>
    </row>
    <row r="85" spans="1:29" ht="25.5" customHeight="1" x14ac:dyDescent="0.15">
      <c r="A85" s="77"/>
      <c r="B85" s="122" t="str">
        <f>$B65</f>
        <v>Investitionsauszahlung komplett</v>
      </c>
      <c r="C85" s="193">
        <f>E27</f>
        <v>50000</v>
      </c>
      <c r="D85" s="143">
        <f>-C85</f>
        <v>-50000</v>
      </c>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5"/>
    </row>
    <row r="86" spans="1:29" ht="25.5" customHeight="1" x14ac:dyDescent="0.15">
      <c r="A86" s="77"/>
      <c r="B86" s="122" t="str">
        <f>$B66</f>
        <v>Planungskosten</v>
      </c>
      <c r="C86" s="142">
        <f>C66</f>
        <v>5000</v>
      </c>
      <c r="D86" s="143">
        <f>-C86</f>
        <v>-5000</v>
      </c>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5"/>
    </row>
    <row r="87" spans="1:29" ht="25.5" customHeight="1" x14ac:dyDescent="0.15">
      <c r="A87" s="77"/>
      <c r="B87" s="131" t="str">
        <f>$B67</f>
        <v>Produktionsausfälle bei der Inbetriebnahme</v>
      </c>
      <c r="C87" s="194">
        <f>C67</f>
        <v>3000</v>
      </c>
      <c r="D87" s="150">
        <f>-C87</f>
        <v>-3000</v>
      </c>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2"/>
    </row>
    <row r="88" spans="1:29" ht="25.5" customHeight="1" x14ac:dyDescent="0.15">
      <c r="A88" s="77"/>
      <c r="B88" s="117" t="s">
        <v>84</v>
      </c>
      <c r="C88" s="183" t="s">
        <v>73</v>
      </c>
      <c r="D88" s="164"/>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6"/>
    </row>
    <row r="89" spans="1:29" ht="25.5" customHeight="1" x14ac:dyDescent="0.15">
      <c r="A89" s="77"/>
      <c r="B89" s="122" t="str">
        <f>$B69</f>
        <v>Energieeinsparungen jährlich</v>
      </c>
      <c r="C89" s="190">
        <f>E28</f>
        <v>175000</v>
      </c>
      <c r="D89" s="143"/>
      <c r="E89" s="144">
        <f t="shared" ref="E89:AC89" si="12">$C$89*$C$81*(1+$C$79)^E77</f>
        <v>32917.5</v>
      </c>
      <c r="F89" s="144">
        <f t="shared" si="12"/>
        <v>34398.787499999991</v>
      </c>
      <c r="G89" s="144">
        <f t="shared" si="12"/>
        <v>35946.732937499997</v>
      </c>
      <c r="H89" s="144">
        <f t="shared" si="12"/>
        <v>37564.335919687481</v>
      </c>
      <c r="I89" s="144">
        <f t="shared" si="12"/>
        <v>39254.731036073419</v>
      </c>
      <c r="J89" s="144">
        <f t="shared" si="12"/>
        <v>41021.193932696711</v>
      </c>
      <c r="K89" s="144">
        <f t="shared" si="12"/>
        <v>42867.147659668073</v>
      </c>
      <c r="L89" s="144">
        <f t="shared" si="12"/>
        <v>44796.16930435312</v>
      </c>
      <c r="M89" s="144">
        <f t="shared" si="12"/>
        <v>46811.99692304901</v>
      </c>
      <c r="N89" s="144">
        <f t="shared" si="12"/>
        <v>48918.536784586206</v>
      </c>
      <c r="O89" s="144">
        <f t="shared" si="12"/>
        <v>51119.870939892586</v>
      </c>
      <c r="P89" s="144">
        <f t="shared" si="12"/>
        <v>53420.265132187735</v>
      </c>
      <c r="Q89" s="144">
        <f t="shared" si="12"/>
        <v>55824.177063136187</v>
      </c>
      <c r="R89" s="144">
        <f t="shared" si="12"/>
        <v>58336.265030977302</v>
      </c>
      <c r="S89" s="144">
        <f t="shared" si="12"/>
        <v>60961.396957371289</v>
      </c>
      <c r="T89" s="144">
        <f t="shared" si="12"/>
        <v>63704.659820452966</v>
      </c>
      <c r="U89" s="144">
        <f t="shared" si="12"/>
        <v>66571.369512373349</v>
      </c>
      <c r="V89" s="144">
        <f t="shared" si="12"/>
        <v>69567.081140430135</v>
      </c>
      <c r="W89" s="144">
        <f t="shared" si="12"/>
        <v>72697.599791749497</v>
      </c>
      <c r="X89" s="144">
        <f t="shared" si="12"/>
        <v>75968.991782378202</v>
      </c>
      <c r="Y89" s="144">
        <f t="shared" si="12"/>
        <v>79387.596412585233</v>
      </c>
      <c r="Z89" s="144">
        <f t="shared" si="12"/>
        <v>82960.038251151534</v>
      </c>
      <c r="AA89" s="144">
        <f t="shared" si="12"/>
        <v>86693.239972453361</v>
      </c>
      <c r="AB89" s="144">
        <f t="shared" si="12"/>
        <v>90594.435771213743</v>
      </c>
      <c r="AC89" s="145">
        <f t="shared" si="12"/>
        <v>94671.185380918352</v>
      </c>
    </row>
    <row r="90" spans="1:29" ht="25.5" customHeight="1" x14ac:dyDescent="0.15">
      <c r="A90" s="77"/>
      <c r="B90" s="122" t="str">
        <f>$B70</f>
        <v>Geringere Wartung</v>
      </c>
      <c r="C90" s="188">
        <f>C70</f>
        <v>250</v>
      </c>
      <c r="D90" s="143"/>
      <c r="E90" s="144">
        <f t="shared" ref="E90:AC90" si="13">$C$90*(1+$C$80)^E77</f>
        <v>253.74999999999997</v>
      </c>
      <c r="F90" s="144">
        <f t="shared" si="13"/>
        <v>257.55624999999992</v>
      </c>
      <c r="G90" s="144">
        <f t="shared" si="13"/>
        <v>261.41959374999988</v>
      </c>
      <c r="H90" s="144">
        <f t="shared" si="13"/>
        <v>265.34088765624983</v>
      </c>
      <c r="I90" s="144">
        <f t="shared" si="13"/>
        <v>269.32100097109355</v>
      </c>
      <c r="J90" s="144">
        <f t="shared" si="13"/>
        <v>273.36081598565994</v>
      </c>
      <c r="K90" s="144">
        <f t="shared" si="13"/>
        <v>277.46122822544476</v>
      </c>
      <c r="L90" s="144">
        <f t="shared" si="13"/>
        <v>281.62314664882643</v>
      </c>
      <c r="M90" s="144">
        <f t="shared" si="13"/>
        <v>285.84749384855877</v>
      </c>
      <c r="N90" s="144">
        <f t="shared" si="13"/>
        <v>290.13520625628712</v>
      </c>
      <c r="O90" s="144">
        <f t="shared" si="13"/>
        <v>294.48723435013142</v>
      </c>
      <c r="P90" s="144">
        <f t="shared" si="13"/>
        <v>298.90454286538329</v>
      </c>
      <c r="Q90" s="144">
        <f t="shared" si="13"/>
        <v>303.38811100836404</v>
      </c>
      <c r="R90" s="144">
        <f t="shared" si="13"/>
        <v>307.93893267348943</v>
      </c>
      <c r="S90" s="144">
        <f t="shared" si="13"/>
        <v>312.55801666359173</v>
      </c>
      <c r="T90" s="144">
        <f t="shared" si="13"/>
        <v>317.24638691354556</v>
      </c>
      <c r="U90" s="144">
        <f t="shared" si="13"/>
        <v>322.00508271724868</v>
      </c>
      <c r="V90" s="144">
        <f t="shared" si="13"/>
        <v>326.83515895800741</v>
      </c>
      <c r="W90" s="144">
        <f t="shared" si="13"/>
        <v>331.73768634237751</v>
      </c>
      <c r="X90" s="144">
        <f t="shared" si="13"/>
        <v>336.71375163751304</v>
      </c>
      <c r="Y90" s="144">
        <f t="shared" si="13"/>
        <v>341.76445791207573</v>
      </c>
      <c r="Z90" s="144">
        <f t="shared" si="13"/>
        <v>346.89092478075679</v>
      </c>
      <c r="AA90" s="144">
        <f t="shared" si="13"/>
        <v>352.09428865246809</v>
      </c>
      <c r="AB90" s="144">
        <f t="shared" si="13"/>
        <v>357.37570298225506</v>
      </c>
      <c r="AC90" s="145">
        <f t="shared" si="13"/>
        <v>362.7363385269889</v>
      </c>
    </row>
    <row r="91" spans="1:29" ht="25.5" customHeight="1" x14ac:dyDescent="0.15">
      <c r="A91" s="77"/>
      <c r="B91" s="131" t="str">
        <f>$B71</f>
        <v>Schrottwert alter Pumpen</v>
      </c>
      <c r="C91" s="194">
        <f>C71</f>
        <v>1500</v>
      </c>
      <c r="D91" s="150">
        <f>C91</f>
        <v>1500</v>
      </c>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2"/>
    </row>
    <row r="92" spans="1:29" ht="25.5" customHeight="1" x14ac:dyDescent="0.15">
      <c r="A92" s="77"/>
      <c r="B92" s="117" t="s">
        <v>78</v>
      </c>
      <c r="C92" s="163"/>
      <c r="D92" s="164">
        <f t="shared" ref="D92:AC92" si="14">(SUM(D85:D87)+SUM(D89:D91))*D83</f>
        <v>-56500</v>
      </c>
      <c r="E92" s="165">
        <f t="shared" si="14"/>
        <v>33171.25</v>
      </c>
      <c r="F92" s="165">
        <f t="shared" si="14"/>
        <v>34656.343749999993</v>
      </c>
      <c r="G92" s="165">
        <f t="shared" si="14"/>
        <v>36208.152531249994</v>
      </c>
      <c r="H92" s="165">
        <f t="shared" si="14"/>
        <v>37829.676807343727</v>
      </c>
      <c r="I92" s="165">
        <f t="shared" si="14"/>
        <v>39524.052037044516</v>
      </c>
      <c r="J92" s="165">
        <f t="shared" si="14"/>
        <v>41294.554748682371</v>
      </c>
      <c r="K92" s="165">
        <f t="shared" si="14"/>
        <v>43144.608887893519</v>
      </c>
      <c r="L92" s="165">
        <f t="shared" si="14"/>
        <v>45077.792451001944</v>
      </c>
      <c r="M92" s="165">
        <f t="shared" si="14"/>
        <v>47097.844416897569</v>
      </c>
      <c r="N92" s="165">
        <f t="shared" si="14"/>
        <v>49208.671990842493</v>
      </c>
      <c r="O92" s="165">
        <f t="shared" si="14"/>
        <v>51414.35817424272</v>
      </c>
      <c r="P92" s="165">
        <f t="shared" si="14"/>
        <v>53719.169675053119</v>
      </c>
      <c r="Q92" s="165">
        <f t="shared" si="14"/>
        <v>56127.565174144554</v>
      </c>
      <c r="R92" s="165">
        <f t="shared" si="14"/>
        <v>58644.203963650791</v>
      </c>
      <c r="S92" s="165">
        <f t="shared" si="14"/>
        <v>61273.954974034881</v>
      </c>
      <c r="T92" s="165">
        <f t="shared" si="14"/>
        <v>64021.906207366512</v>
      </c>
      <c r="U92" s="165">
        <f t="shared" si="14"/>
        <v>66893.374595090601</v>
      </c>
      <c r="V92" s="165">
        <f t="shared" si="14"/>
        <v>69893.916299388147</v>
      </c>
      <c r="W92" s="165">
        <f t="shared" si="14"/>
        <v>73029.337478091868</v>
      </c>
      <c r="X92" s="165">
        <f t="shared" si="14"/>
        <v>76305.705534015709</v>
      </c>
      <c r="Y92" s="165">
        <f t="shared" si="14"/>
        <v>0</v>
      </c>
      <c r="Z92" s="165">
        <f t="shared" si="14"/>
        <v>0</v>
      </c>
      <c r="AA92" s="165">
        <f t="shared" si="14"/>
        <v>0</v>
      </c>
      <c r="AB92" s="165">
        <f t="shared" si="14"/>
        <v>0</v>
      </c>
      <c r="AC92" s="166">
        <f t="shared" si="14"/>
        <v>0</v>
      </c>
    </row>
    <row r="93" spans="1:29" ht="25.5" customHeight="1" x14ac:dyDescent="0.15">
      <c r="A93" s="77"/>
      <c r="B93" s="131" t="s">
        <v>79</v>
      </c>
      <c r="C93" s="167"/>
      <c r="D93" s="150">
        <f t="shared" ref="D93:AC93" si="15">(D92)/(1+$C78)^D77</f>
        <v>-56500</v>
      </c>
      <c r="E93" s="151">
        <f t="shared" si="15"/>
        <v>31591.666666666664</v>
      </c>
      <c r="F93" s="151">
        <f t="shared" si="15"/>
        <v>31434.325396825388</v>
      </c>
      <c r="G93" s="151">
        <f t="shared" si="15"/>
        <v>31277.963529856377</v>
      </c>
      <c r="H93" s="151">
        <f t="shared" si="15"/>
        <v>31122.568729978746</v>
      </c>
      <c r="I93" s="151">
        <f t="shared" si="15"/>
        <v>30968.128975885375</v>
      </c>
      <c r="J93" s="151">
        <f t="shared" si="15"/>
        <v>30814.632550720951</v>
      </c>
      <c r="K93" s="151">
        <f t="shared" si="15"/>
        <v>30662.068032392024</v>
      </c>
      <c r="L93" s="151">
        <f t="shared" si="15"/>
        <v>30510.424284197725</v>
      </c>
      <c r="M93" s="151">
        <f t="shared" si="15"/>
        <v>30359.690445770775</v>
      </c>
      <c r="N93" s="151">
        <f t="shared" si="15"/>
        <v>30209.855924318148</v>
      </c>
      <c r="O93" s="151">
        <f t="shared" si="15"/>
        <v>30060.910386151696</v>
      </c>
      <c r="P93" s="151">
        <f t="shared" si="15"/>
        <v>29912.843748498828</v>
      </c>
      <c r="Q93" s="151">
        <f t="shared" si="15"/>
        <v>29765.646171584143</v>
      </c>
      <c r="R93" s="151">
        <f t="shared" si="15"/>
        <v>29619.308050972799</v>
      </c>
      <c r="S93" s="151">
        <f t="shared" si="15"/>
        <v>29473.820010167026</v>
      </c>
      <c r="T93" s="151">
        <f t="shared" si="15"/>
        <v>29329.172893447347</v>
      </c>
      <c r="U93" s="151">
        <f t="shared" si="15"/>
        <v>29185.3577589503</v>
      </c>
      <c r="V93" s="151">
        <f t="shared" si="15"/>
        <v>29042.365871974816</v>
      </c>
      <c r="W93" s="151">
        <f t="shared" si="15"/>
        <v>28900.188698509679</v>
      </c>
      <c r="X93" s="151">
        <f t="shared" si="15"/>
        <v>28758.817898974641</v>
      </c>
      <c r="Y93" s="151">
        <f t="shared" si="15"/>
        <v>0</v>
      </c>
      <c r="Z93" s="151">
        <f t="shared" si="15"/>
        <v>0</v>
      </c>
      <c r="AA93" s="151">
        <f t="shared" si="15"/>
        <v>0</v>
      </c>
      <c r="AB93" s="151">
        <f t="shared" si="15"/>
        <v>0</v>
      </c>
      <c r="AC93" s="152">
        <f t="shared" si="15"/>
        <v>0</v>
      </c>
    </row>
    <row r="94" spans="1:29" ht="25.5" customHeight="1" x14ac:dyDescent="0.15">
      <c r="A94" s="195"/>
      <c r="B94" s="171" t="s">
        <v>81</v>
      </c>
      <c r="C94" s="172"/>
      <c r="D94" s="173">
        <f>SUM(D93:AC93)</f>
        <v>546499.75602584344</v>
      </c>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5"/>
    </row>
  </sheetData>
  <mergeCells count="12">
    <mergeCell ref="I23:J23"/>
    <mergeCell ref="G18:M18"/>
    <mergeCell ref="E3:H3"/>
    <mergeCell ref="C20:E20"/>
    <mergeCell ref="B12:B15"/>
    <mergeCell ref="C19:E19"/>
    <mergeCell ref="B8:B11"/>
    <mergeCell ref="B35:C35"/>
    <mergeCell ref="F38:M40"/>
    <mergeCell ref="F59:M61"/>
    <mergeCell ref="F79:M81"/>
    <mergeCell ref="I25:I27"/>
  </mergeCells>
  <conditionalFormatting sqref="D53:AC53">
    <cfRule type="cellIs" dxfId="14" priority="1" stopIfTrue="1" operator="lessThan">
      <formula>0</formula>
    </cfRule>
    <cfRule type="cellIs" dxfId="13" priority="2" stopIfTrue="1" operator="greaterThanOrEqual">
      <formula>0</formula>
    </cfRule>
  </conditionalFormatting>
  <pageMargins left="1" right="1" top="1" bottom="1" header="0.25" footer="0.25"/>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4"/>
  <sheetViews>
    <sheetView showGridLines="0" topLeftCell="A19" zoomScale="200" zoomScaleNormal="140" workbookViewId="0">
      <selection activeCell="A34" sqref="A34:E34"/>
    </sheetView>
  </sheetViews>
  <sheetFormatPr baseColWidth="10" defaultColWidth="16.33203125" defaultRowHeight="20" customHeight="1" x14ac:dyDescent="0.15"/>
  <cols>
    <col min="1" max="1" width="45.6640625" style="1" customWidth="1"/>
    <col min="2" max="2" width="36.1640625" style="1" customWidth="1"/>
    <col min="3" max="3" width="9.5" style="1" customWidth="1"/>
    <col min="4" max="4" width="34.1640625" style="1" customWidth="1"/>
    <col min="5" max="5" width="12.6640625" style="1" customWidth="1"/>
    <col min="6" max="6" width="16.33203125" style="1" customWidth="1"/>
    <col min="7" max="16384" width="16.33203125" style="1"/>
  </cols>
  <sheetData>
    <row r="1" spans="1:5" ht="27.75" customHeight="1" x14ac:dyDescent="0.15">
      <c r="A1" s="349" t="s">
        <v>86</v>
      </c>
      <c r="B1" s="349"/>
      <c r="C1" s="349"/>
      <c r="D1" s="349"/>
      <c r="E1" s="349"/>
    </row>
    <row r="2" spans="1:5" ht="21.75" customHeight="1" x14ac:dyDescent="0.15">
      <c r="A2" s="196" t="s">
        <v>87</v>
      </c>
      <c r="B2" s="197" t="s">
        <v>88</v>
      </c>
      <c r="C2" s="350"/>
      <c r="D2" s="350"/>
      <c r="E2" s="352"/>
    </row>
    <row r="3" spans="1:5" ht="20.75" customHeight="1" x14ac:dyDescent="0.15">
      <c r="A3" s="198" t="s">
        <v>89</v>
      </c>
      <c r="B3" s="199">
        <v>44877</v>
      </c>
      <c r="C3" s="351"/>
      <c r="D3" s="339"/>
      <c r="E3" s="340"/>
    </row>
    <row r="4" spans="1:5" ht="20.25" customHeight="1" x14ac:dyDescent="0.15">
      <c r="A4" s="354"/>
      <c r="B4" s="355"/>
      <c r="C4" s="339"/>
      <c r="D4" s="339"/>
      <c r="E4" s="340"/>
    </row>
    <row r="5" spans="1:5" ht="19.75" customHeight="1" x14ac:dyDescent="0.15">
      <c r="A5" s="345" t="s">
        <v>90</v>
      </c>
      <c r="B5" s="339"/>
      <c r="C5" s="339"/>
      <c r="D5" s="339"/>
      <c r="E5" s="340"/>
    </row>
    <row r="6" spans="1:5" ht="18.75" customHeight="1" x14ac:dyDescent="0.15">
      <c r="A6" s="341" t="s">
        <v>91</v>
      </c>
      <c r="B6" s="339"/>
      <c r="C6" s="339"/>
      <c r="D6" s="339"/>
      <c r="E6" s="340"/>
    </row>
    <row r="7" spans="1:5" ht="19.75" customHeight="1" x14ac:dyDescent="0.15">
      <c r="A7" s="345" t="s">
        <v>92</v>
      </c>
      <c r="B7" s="339"/>
      <c r="C7" s="339"/>
      <c r="D7" s="339"/>
      <c r="E7" s="340"/>
    </row>
    <row r="8" spans="1:5" ht="40.75" customHeight="1" x14ac:dyDescent="0.15">
      <c r="A8" s="353" t="s">
        <v>93</v>
      </c>
      <c r="B8" s="339"/>
      <c r="C8" s="339"/>
      <c r="D8" s="339"/>
      <c r="E8" s="340"/>
    </row>
    <row r="9" spans="1:5" ht="19.75" customHeight="1" x14ac:dyDescent="0.15">
      <c r="A9" s="345" t="s">
        <v>94</v>
      </c>
      <c r="B9" s="339"/>
      <c r="C9" s="339"/>
      <c r="D9" s="339"/>
      <c r="E9" s="340"/>
    </row>
    <row r="10" spans="1:5" ht="19.75" customHeight="1" x14ac:dyDescent="0.15">
      <c r="A10" s="200" t="s">
        <v>95</v>
      </c>
      <c r="B10" s="201">
        <f>'Beispiel aus DIN EN 17463'!C33</f>
        <v>239602.80288053022</v>
      </c>
      <c r="C10" s="202"/>
      <c r="D10" s="202"/>
      <c r="E10" s="203"/>
    </row>
    <row r="11" spans="1:5" ht="19.75" customHeight="1" x14ac:dyDescent="0.15">
      <c r="A11" s="346" t="s">
        <v>96</v>
      </c>
      <c r="B11" s="339"/>
      <c r="C11" s="339"/>
      <c r="D11" s="204"/>
      <c r="E11" s="205"/>
    </row>
    <row r="12" spans="1:5" ht="29.75" customHeight="1" x14ac:dyDescent="0.15">
      <c r="A12" s="348" t="s">
        <v>97</v>
      </c>
      <c r="B12" s="339"/>
      <c r="C12" s="339"/>
      <c r="D12" s="339"/>
      <c r="E12" s="340"/>
    </row>
    <row r="13" spans="1:5" ht="19.75" customHeight="1" x14ac:dyDescent="0.15">
      <c r="A13" s="346" t="s">
        <v>98</v>
      </c>
      <c r="B13" s="339"/>
      <c r="C13" s="339"/>
      <c r="D13" s="339"/>
      <c r="E13" s="340"/>
    </row>
    <row r="14" spans="1:5" ht="40.75" customHeight="1" x14ac:dyDescent="0.15">
      <c r="A14" s="347" t="s">
        <v>99</v>
      </c>
      <c r="B14" s="339"/>
      <c r="C14" s="339"/>
      <c r="D14" s="339"/>
      <c r="E14" s="340"/>
    </row>
    <row r="15" spans="1:5" ht="19.75" customHeight="1" x14ac:dyDescent="0.15">
      <c r="A15" s="200" t="s">
        <v>100</v>
      </c>
      <c r="B15" s="206" t="s">
        <v>101</v>
      </c>
      <c r="C15" s="207">
        <f>'Beispiel aus DIN EN 17463'!D33</f>
        <v>5609.1006282661438</v>
      </c>
      <c r="D15" s="206" t="s">
        <v>102</v>
      </c>
      <c r="E15" s="208">
        <f>'Beispiel aus DIN EN 17463'!E33</f>
        <v>546499.75602584344</v>
      </c>
    </row>
    <row r="16" spans="1:5" ht="19.75" customHeight="1" x14ac:dyDescent="0.15">
      <c r="A16" s="200" t="s">
        <v>103</v>
      </c>
      <c r="B16" s="202"/>
      <c r="C16" s="202"/>
      <c r="D16" s="202"/>
      <c r="E16" s="203"/>
    </row>
    <row r="17" spans="1:5" ht="29.75" customHeight="1" x14ac:dyDescent="0.15">
      <c r="A17" s="338" t="s">
        <v>104</v>
      </c>
      <c r="B17" s="339"/>
      <c r="C17" s="339"/>
      <c r="D17" s="339"/>
      <c r="E17" s="340"/>
    </row>
    <row r="18" spans="1:5" ht="19.75" customHeight="1" x14ac:dyDescent="0.15">
      <c r="A18" s="346" t="s">
        <v>105</v>
      </c>
      <c r="B18" s="339"/>
      <c r="C18" s="339"/>
      <c r="D18" s="339"/>
      <c r="E18" s="340"/>
    </row>
    <row r="19" spans="1:5" ht="40.75" customHeight="1" x14ac:dyDescent="0.15">
      <c r="A19" s="338" t="s">
        <v>106</v>
      </c>
      <c r="B19" s="339"/>
      <c r="C19" s="339"/>
      <c r="D19" s="339"/>
      <c r="E19" s="340"/>
    </row>
    <row r="20" spans="1:5" ht="19.75" customHeight="1" x14ac:dyDescent="0.15">
      <c r="A20" s="345" t="s">
        <v>107</v>
      </c>
      <c r="B20" s="339"/>
      <c r="C20" s="339"/>
      <c r="D20" s="339"/>
      <c r="E20" s="340"/>
    </row>
    <row r="21" spans="1:5" ht="19.75" customHeight="1" x14ac:dyDescent="0.15">
      <c r="A21" s="200" t="s">
        <v>108</v>
      </c>
      <c r="B21" s="209">
        <f>'Beispiel aus DIN EN 17463'!C31</f>
        <v>15</v>
      </c>
      <c r="C21" s="204"/>
      <c r="D21" s="204"/>
      <c r="E21" s="205"/>
    </row>
    <row r="22" spans="1:5" ht="19.75" customHeight="1" x14ac:dyDescent="0.15">
      <c r="A22" s="200" t="s">
        <v>109</v>
      </c>
      <c r="B22" s="204"/>
      <c r="C22" s="204"/>
      <c r="D22" s="204"/>
      <c r="E22" s="205"/>
    </row>
    <row r="23" spans="1:5" ht="29.75" customHeight="1" x14ac:dyDescent="0.15">
      <c r="A23" s="338" t="s">
        <v>110</v>
      </c>
      <c r="B23" s="339"/>
      <c r="C23" s="339"/>
      <c r="D23" s="339"/>
      <c r="E23" s="340"/>
    </row>
    <row r="24" spans="1:5" ht="19.75" customHeight="1" x14ac:dyDescent="0.15">
      <c r="A24" s="200" t="s">
        <v>111</v>
      </c>
      <c r="B24" s="210">
        <f>'Beispiel aus DIN EN 17463'!C32</f>
        <v>6.9599999999999995E-2</v>
      </c>
      <c r="C24" s="204"/>
      <c r="D24" s="204"/>
      <c r="E24" s="205"/>
    </row>
    <row r="25" spans="1:5" ht="19.75" customHeight="1" x14ac:dyDescent="0.15">
      <c r="A25" s="200" t="s">
        <v>112</v>
      </c>
      <c r="B25" s="204"/>
      <c r="C25" s="204"/>
      <c r="D25" s="204"/>
      <c r="E25" s="205"/>
    </row>
    <row r="26" spans="1:5" ht="40.75" customHeight="1" x14ac:dyDescent="0.15">
      <c r="A26" s="357" t="s">
        <v>113</v>
      </c>
      <c r="B26" s="339"/>
      <c r="C26" s="339"/>
      <c r="D26" s="339"/>
      <c r="E26" s="340"/>
    </row>
    <row r="27" spans="1:5" ht="19.75" customHeight="1" x14ac:dyDescent="0.15">
      <c r="A27" s="200" t="s">
        <v>114</v>
      </c>
      <c r="B27" s="206" t="s">
        <v>115</v>
      </c>
      <c r="C27" s="211">
        <f>'Beispiel aus DIN EN 17463'!C29</f>
        <v>0.03</v>
      </c>
      <c r="D27" s="206" t="s">
        <v>116</v>
      </c>
      <c r="E27" s="212">
        <f>'Beispiel aus DIN EN 17463'!C30</f>
        <v>0.02</v>
      </c>
    </row>
    <row r="28" spans="1:5" ht="19.75" customHeight="1" x14ac:dyDescent="0.15">
      <c r="A28" s="200" t="s">
        <v>117</v>
      </c>
      <c r="B28" s="202"/>
      <c r="C28" s="202"/>
      <c r="D28" s="202"/>
      <c r="E28" s="203"/>
    </row>
    <row r="29" spans="1:5" ht="29.75" customHeight="1" x14ac:dyDescent="0.15">
      <c r="A29" s="338" t="s">
        <v>118</v>
      </c>
      <c r="B29" s="339"/>
      <c r="C29" s="339"/>
      <c r="D29" s="339"/>
      <c r="E29" s="340"/>
    </row>
    <row r="30" spans="1:5" ht="19.75" customHeight="1" x14ac:dyDescent="0.15">
      <c r="A30" s="200" t="s">
        <v>119</v>
      </c>
      <c r="B30" s="213">
        <v>0</v>
      </c>
      <c r="C30" s="204"/>
      <c r="D30" s="204"/>
      <c r="E30" s="205"/>
    </row>
    <row r="31" spans="1:5" ht="19.75" customHeight="1" x14ac:dyDescent="0.15">
      <c r="A31" s="200" t="s">
        <v>120</v>
      </c>
      <c r="B31" s="202"/>
      <c r="C31" s="202"/>
      <c r="D31" s="202"/>
      <c r="E31" s="203"/>
    </row>
    <row r="32" spans="1:5" ht="18.75" customHeight="1" x14ac:dyDescent="0.15">
      <c r="A32" s="341" t="s">
        <v>121</v>
      </c>
      <c r="B32" s="339"/>
      <c r="C32" s="339"/>
      <c r="D32" s="339"/>
      <c r="E32" s="340"/>
    </row>
    <row r="33" spans="1:5" ht="19.75" customHeight="1" x14ac:dyDescent="0.15">
      <c r="A33" s="345" t="s">
        <v>122</v>
      </c>
      <c r="B33" s="339"/>
      <c r="C33" s="339"/>
      <c r="D33" s="339"/>
      <c r="E33" s="340"/>
    </row>
    <row r="34" spans="1:5" ht="21.25" customHeight="1" x14ac:dyDescent="0.15">
      <c r="A34" s="342" t="s">
        <v>123</v>
      </c>
      <c r="B34" s="343"/>
      <c r="C34" s="343"/>
      <c r="D34" s="343"/>
      <c r="E34" s="344"/>
    </row>
  </sheetData>
  <mergeCells count="24">
    <mergeCell ref="A1:E1"/>
    <mergeCell ref="C2:C3"/>
    <mergeCell ref="A11:C11"/>
    <mergeCell ref="D2:D3"/>
    <mergeCell ref="E2:E3"/>
    <mergeCell ref="A6:E6"/>
    <mergeCell ref="A5:E5"/>
    <mergeCell ref="A8:E8"/>
    <mergeCell ref="A4:E4"/>
    <mergeCell ref="A29:E29"/>
    <mergeCell ref="A32:E32"/>
    <mergeCell ref="A34:E34"/>
    <mergeCell ref="A9:E9"/>
    <mergeCell ref="A7:E7"/>
    <mergeCell ref="A20:E20"/>
    <mergeCell ref="A18:E18"/>
    <mergeCell ref="A13:E13"/>
    <mergeCell ref="A14:E14"/>
    <mergeCell ref="A33:E33"/>
    <mergeCell ref="A12:E12"/>
    <mergeCell ref="A17:E17"/>
    <mergeCell ref="A19:E19"/>
    <mergeCell ref="A23:E23"/>
    <mergeCell ref="A26:E26"/>
  </mergeCells>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01"/>
  <sheetViews>
    <sheetView showGridLines="0" topLeftCell="A8" zoomScale="166" workbookViewId="0">
      <selection activeCell="D59" sqref="D59"/>
    </sheetView>
  </sheetViews>
  <sheetFormatPr baseColWidth="10" defaultColWidth="45" defaultRowHeight="17" customHeight="1" x14ac:dyDescent="0.15"/>
  <cols>
    <col min="1" max="1" width="4.1640625" style="1" customWidth="1"/>
    <col min="2" max="2" width="56" style="1" customWidth="1"/>
    <col min="3" max="3" width="36.33203125" style="1" customWidth="1"/>
    <col min="4" max="4" width="32.5" style="1" customWidth="1"/>
    <col min="5" max="5" width="26.5" style="1" customWidth="1"/>
    <col min="6" max="6" width="20.33203125" style="1" customWidth="1"/>
    <col min="7" max="7" width="23.6640625" style="1" customWidth="1"/>
    <col min="8" max="8" width="12.33203125" style="1" customWidth="1"/>
    <col min="9" max="9" width="12.6640625" style="1" customWidth="1"/>
    <col min="10" max="11" width="21.83203125" style="1" customWidth="1"/>
    <col min="12" max="12" width="27.1640625" style="1" customWidth="1"/>
    <col min="13" max="13" width="28.5" style="1" customWidth="1"/>
    <col min="14" max="14" width="16.5" style="1" customWidth="1"/>
    <col min="15" max="15" width="15.6640625" style="1" customWidth="1"/>
    <col min="16" max="16" width="25.83203125" style="1" customWidth="1"/>
    <col min="17" max="17" width="20.5" style="1" customWidth="1"/>
    <col min="18" max="18" width="27.33203125" style="1" customWidth="1"/>
    <col min="19" max="29" width="9.83203125" style="1" customWidth="1"/>
    <col min="30" max="30" width="45" style="1" customWidth="1"/>
    <col min="31" max="16384" width="45" style="1"/>
  </cols>
  <sheetData>
    <row r="1" spans="1:29" ht="30" customHeight="1" x14ac:dyDescent="0.15"/>
    <row r="2" spans="1:29" ht="171.75" customHeight="1" x14ac:dyDescent="0.15">
      <c r="A2" s="2"/>
      <c r="B2" s="3"/>
      <c r="C2" s="3"/>
      <c r="D2" s="3"/>
      <c r="E2" s="3"/>
      <c r="F2" s="3"/>
      <c r="G2" s="3"/>
      <c r="H2" s="3"/>
      <c r="I2" s="4"/>
      <c r="J2" s="4"/>
      <c r="K2" s="4"/>
      <c r="L2" s="4"/>
      <c r="M2" s="4"/>
      <c r="N2" s="4"/>
      <c r="O2" s="4"/>
      <c r="P2" s="4"/>
      <c r="Q2" s="4"/>
      <c r="R2" s="4"/>
      <c r="S2" s="4"/>
      <c r="T2" s="4"/>
      <c r="U2" s="4"/>
      <c r="V2" s="4"/>
      <c r="W2" s="4"/>
      <c r="X2" s="4"/>
      <c r="Y2" s="4"/>
      <c r="Z2" s="4"/>
      <c r="AA2" s="4"/>
      <c r="AB2" s="4"/>
      <c r="AC2" s="5"/>
    </row>
    <row r="3" spans="1:29" ht="20.5" customHeight="1" x14ac:dyDescent="0.15">
      <c r="A3" s="6"/>
      <c r="B3" s="7"/>
      <c r="C3" s="7"/>
      <c r="D3" s="8"/>
      <c r="E3" s="326"/>
      <c r="F3" s="327"/>
      <c r="G3" s="327"/>
      <c r="H3" s="327"/>
      <c r="I3" s="9"/>
      <c r="J3" s="9"/>
      <c r="K3" s="9"/>
      <c r="L3" s="9"/>
      <c r="M3" s="9"/>
      <c r="N3" s="9"/>
      <c r="O3" s="9"/>
      <c r="P3" s="9"/>
      <c r="Q3" s="9"/>
      <c r="R3" s="9"/>
      <c r="S3" s="9"/>
      <c r="T3" s="9"/>
      <c r="U3" s="9"/>
      <c r="V3" s="9"/>
      <c r="W3" s="9"/>
      <c r="X3" s="9"/>
      <c r="Y3" s="9"/>
      <c r="Z3" s="9"/>
      <c r="AA3" s="9"/>
      <c r="AB3" s="9"/>
      <c r="AC3" s="10"/>
    </row>
    <row r="4" spans="1:29" ht="19.5" customHeight="1" x14ac:dyDescent="0.15">
      <c r="A4" s="6"/>
      <c r="B4" s="11" t="s">
        <v>0</v>
      </c>
      <c r="C4" s="12"/>
      <c r="D4" s="9"/>
      <c r="E4" s="9"/>
      <c r="F4" s="9"/>
      <c r="G4" s="9"/>
      <c r="H4" s="9"/>
      <c r="I4" s="9"/>
      <c r="J4" s="9"/>
      <c r="K4" s="9"/>
      <c r="L4" s="9"/>
      <c r="M4" s="9"/>
      <c r="N4" s="9"/>
      <c r="O4" s="9"/>
      <c r="P4" s="9"/>
      <c r="Q4" s="9"/>
      <c r="R4" s="9"/>
      <c r="S4" s="9"/>
      <c r="T4" s="9"/>
      <c r="U4" s="9"/>
      <c r="V4" s="9"/>
      <c r="W4" s="9"/>
      <c r="X4" s="9"/>
      <c r="Y4" s="9"/>
      <c r="Z4" s="9"/>
      <c r="AA4" s="9"/>
      <c r="AB4" s="9"/>
      <c r="AC4" s="10"/>
    </row>
    <row r="5" spans="1:29" ht="20.5" customHeight="1" x14ac:dyDescent="0.15">
      <c r="A5" s="6"/>
      <c r="B5" s="13" t="s">
        <v>1</v>
      </c>
      <c r="C5" s="14" t="s">
        <v>2</v>
      </c>
      <c r="D5" s="15"/>
      <c r="E5" s="15"/>
      <c r="F5" s="15"/>
      <c r="G5" s="15"/>
      <c r="H5" s="15"/>
      <c r="I5" s="15"/>
      <c r="J5" s="15"/>
      <c r="K5" s="15"/>
      <c r="L5" s="15"/>
      <c r="M5" s="15"/>
      <c r="N5" s="9"/>
      <c r="O5" s="9"/>
      <c r="P5" s="9"/>
      <c r="Q5" s="9"/>
      <c r="R5" s="9"/>
      <c r="S5" s="9"/>
      <c r="T5" s="9"/>
      <c r="U5" s="9"/>
      <c r="V5" s="9"/>
      <c r="W5" s="9"/>
      <c r="X5" s="9"/>
      <c r="Y5" s="9"/>
      <c r="Z5" s="9"/>
      <c r="AA5" s="9"/>
      <c r="AB5" s="9"/>
      <c r="AC5" s="10"/>
    </row>
    <row r="6" spans="1:29" ht="57" customHeight="1" x14ac:dyDescent="0.15">
      <c r="A6" s="24"/>
      <c r="B6" s="214" t="s">
        <v>3</v>
      </c>
      <c r="C6" s="215"/>
      <c r="D6" s="63" t="s">
        <v>4</v>
      </c>
      <c r="E6" s="63" t="s">
        <v>5</v>
      </c>
      <c r="F6" s="63" t="s">
        <v>6</v>
      </c>
      <c r="G6" s="63" t="s">
        <v>7</v>
      </c>
      <c r="H6" s="63" t="s">
        <v>5</v>
      </c>
      <c r="I6" s="63" t="s">
        <v>8</v>
      </c>
      <c r="J6" s="63" t="s">
        <v>9</v>
      </c>
      <c r="K6" s="63" t="s">
        <v>10</v>
      </c>
      <c r="L6" s="63" t="s">
        <v>11</v>
      </c>
      <c r="M6" s="64" t="s">
        <v>12</v>
      </c>
      <c r="N6" s="32"/>
      <c r="O6" s="9"/>
      <c r="P6" s="9"/>
      <c r="Q6" s="9"/>
      <c r="R6" s="9"/>
      <c r="S6" s="9"/>
      <c r="T6" s="9"/>
      <c r="U6" s="9"/>
      <c r="V6" s="9"/>
      <c r="W6" s="9"/>
      <c r="X6" s="9"/>
      <c r="Y6" s="9"/>
      <c r="Z6" s="9"/>
      <c r="AA6" s="9"/>
      <c r="AB6" s="9"/>
      <c r="AC6" s="10"/>
    </row>
    <row r="7" spans="1:29" ht="39" customHeight="1" x14ac:dyDescent="0.15">
      <c r="A7" s="24"/>
      <c r="B7" s="25" t="s">
        <v>13</v>
      </c>
      <c r="C7" s="26" t="s">
        <v>14</v>
      </c>
      <c r="D7" s="27">
        <v>10</v>
      </c>
      <c r="E7" s="28" t="s">
        <v>15</v>
      </c>
      <c r="F7" s="28" t="s">
        <v>16</v>
      </c>
      <c r="G7" s="29">
        <v>1000</v>
      </c>
      <c r="H7" s="26" t="str">
        <f>"€/ "&amp;E7</f>
        <v>€/ Stk.</v>
      </c>
      <c r="I7" s="30">
        <f>IF(F7="ja",D7*G7,"-")</f>
        <v>10000</v>
      </c>
      <c r="J7" s="26" t="s">
        <v>17</v>
      </c>
      <c r="K7" s="28" t="s">
        <v>18</v>
      </c>
      <c r="L7" s="28" t="s">
        <v>18</v>
      </c>
      <c r="M7" s="31" t="s">
        <v>16</v>
      </c>
      <c r="N7" s="32"/>
      <c r="O7" s="9"/>
      <c r="P7" s="9"/>
      <c r="Q7" s="9"/>
      <c r="R7" s="9"/>
      <c r="S7" s="9"/>
      <c r="T7" s="9"/>
      <c r="U7" s="9"/>
      <c r="V7" s="9"/>
      <c r="W7" s="9"/>
      <c r="X7" s="9"/>
      <c r="Y7" s="9"/>
      <c r="Z7" s="9"/>
      <c r="AA7" s="9"/>
      <c r="AB7" s="9"/>
      <c r="AC7" s="10"/>
    </row>
    <row r="8" spans="1:29" ht="38" customHeight="1" x14ac:dyDescent="0.15">
      <c r="A8" s="24"/>
      <c r="B8" s="337" t="s">
        <v>19</v>
      </c>
      <c r="C8" s="216" t="s">
        <v>124</v>
      </c>
      <c r="D8" s="217">
        <v>2207</v>
      </c>
      <c r="E8" s="218" t="s">
        <v>15</v>
      </c>
      <c r="F8" s="218" t="s">
        <v>16</v>
      </c>
      <c r="G8" s="219">
        <v>200</v>
      </c>
      <c r="H8" s="220" t="s">
        <v>125</v>
      </c>
      <c r="I8" s="38">
        <f>IF(F8="nein","",D8*G8)</f>
        <v>441400</v>
      </c>
      <c r="J8" s="216" t="s">
        <v>17</v>
      </c>
      <c r="K8" s="221" t="s">
        <v>126</v>
      </c>
      <c r="L8" s="221" t="s">
        <v>126</v>
      </c>
      <c r="M8" s="222" t="s">
        <v>16</v>
      </c>
      <c r="N8" s="32"/>
      <c r="O8" s="9"/>
      <c r="P8" s="9"/>
      <c r="Q8" s="9"/>
      <c r="R8" s="9"/>
      <c r="S8" s="9"/>
      <c r="T8" s="9"/>
      <c r="U8" s="9"/>
      <c r="V8" s="9"/>
      <c r="W8" s="9"/>
      <c r="X8" s="9"/>
      <c r="Y8" s="9"/>
      <c r="Z8" s="9"/>
      <c r="AA8" s="9"/>
      <c r="AB8" s="9"/>
      <c r="AC8" s="10"/>
    </row>
    <row r="9" spans="1:29" ht="20.5" customHeight="1" x14ac:dyDescent="0.15">
      <c r="A9" s="24"/>
      <c r="B9" s="332"/>
      <c r="C9" s="223" t="s">
        <v>127</v>
      </c>
      <c r="D9" s="224">
        <v>1</v>
      </c>
      <c r="E9" s="225" t="s">
        <v>15</v>
      </c>
      <c r="F9" s="225" t="s">
        <v>16</v>
      </c>
      <c r="G9" s="226">
        <v>65000</v>
      </c>
      <c r="H9" s="227" t="s">
        <v>125</v>
      </c>
      <c r="I9" s="45">
        <f>IF(F9="nein","",D9*G9)</f>
        <v>65000</v>
      </c>
      <c r="J9" s="223" t="s">
        <v>17</v>
      </c>
      <c r="K9" s="225" t="s">
        <v>126</v>
      </c>
      <c r="L9" s="225" t="s">
        <v>126</v>
      </c>
      <c r="M9" s="228" t="s">
        <v>16</v>
      </c>
      <c r="N9" s="32"/>
      <c r="O9" s="9"/>
      <c r="P9" s="9"/>
      <c r="Q9" s="9"/>
      <c r="R9" s="9"/>
      <c r="S9" s="9"/>
      <c r="T9" s="9"/>
      <c r="U9" s="9"/>
      <c r="V9" s="9"/>
      <c r="W9" s="9"/>
      <c r="X9" s="9"/>
      <c r="Y9" s="9"/>
      <c r="Z9" s="9"/>
      <c r="AA9" s="9"/>
      <c r="AB9" s="9"/>
      <c r="AC9" s="10"/>
    </row>
    <row r="10" spans="1:29" ht="20.5" customHeight="1" x14ac:dyDescent="0.15">
      <c r="A10" s="24"/>
      <c r="B10" s="332"/>
      <c r="C10" s="223" t="s">
        <v>128</v>
      </c>
      <c r="D10" s="224">
        <v>1</v>
      </c>
      <c r="E10" s="225" t="s">
        <v>129</v>
      </c>
      <c r="F10" s="225" t="s">
        <v>16</v>
      </c>
      <c r="G10" s="226">
        <v>320000</v>
      </c>
      <c r="H10" s="223" t="s">
        <v>130</v>
      </c>
      <c r="I10" s="45">
        <f>G10</f>
        <v>320000</v>
      </c>
      <c r="J10" s="223" t="s">
        <v>17</v>
      </c>
      <c r="K10" s="225"/>
      <c r="L10" s="225"/>
      <c r="M10" s="228"/>
      <c r="N10" s="32"/>
      <c r="O10" s="9"/>
      <c r="P10" s="9"/>
      <c r="Q10" s="9"/>
      <c r="R10" s="9"/>
      <c r="S10" s="9"/>
      <c r="T10" s="9"/>
      <c r="U10" s="9"/>
      <c r="V10" s="9"/>
      <c r="W10" s="9"/>
      <c r="X10" s="9"/>
      <c r="Y10" s="9"/>
      <c r="Z10" s="9"/>
      <c r="AA10" s="9"/>
      <c r="AB10" s="9"/>
      <c r="AC10" s="10"/>
    </row>
    <row r="11" spans="1:29" ht="20.5" customHeight="1" x14ac:dyDescent="0.15">
      <c r="A11" s="24"/>
      <c r="B11" s="332"/>
      <c r="C11" s="223" t="s">
        <v>131</v>
      </c>
      <c r="D11" s="224">
        <v>1</v>
      </c>
      <c r="E11" s="225" t="s">
        <v>129</v>
      </c>
      <c r="F11" s="225" t="s">
        <v>16</v>
      </c>
      <c r="G11" s="226">
        <v>3795</v>
      </c>
      <c r="H11" s="223" t="s">
        <v>130</v>
      </c>
      <c r="I11" s="45">
        <f>IF(F11="nein","",D11*G11)</f>
        <v>3795</v>
      </c>
      <c r="J11" s="223" t="s">
        <v>29</v>
      </c>
      <c r="K11" s="225" t="s">
        <v>126</v>
      </c>
      <c r="L11" s="225" t="s">
        <v>126</v>
      </c>
      <c r="M11" s="228" t="s">
        <v>16</v>
      </c>
      <c r="N11" s="32"/>
      <c r="O11" s="9"/>
      <c r="P11" s="9"/>
      <c r="Q11" s="9"/>
      <c r="R11" s="9"/>
      <c r="S11" s="9"/>
      <c r="T11" s="9"/>
      <c r="U11" s="9"/>
      <c r="V11" s="9"/>
      <c r="W11" s="9"/>
      <c r="X11" s="9"/>
      <c r="Y11" s="9"/>
      <c r="Z11" s="9"/>
      <c r="AA11" s="9"/>
      <c r="AB11" s="9"/>
      <c r="AC11" s="10"/>
    </row>
    <row r="12" spans="1:29" ht="20.5" customHeight="1" x14ac:dyDescent="0.15">
      <c r="A12" s="24"/>
      <c r="B12" s="331" t="s">
        <v>32</v>
      </c>
      <c r="C12" s="223" t="s">
        <v>132</v>
      </c>
      <c r="D12" s="229">
        <v>626380</v>
      </c>
      <c r="E12" s="225" t="s">
        <v>28</v>
      </c>
      <c r="F12" s="225" t="s">
        <v>16</v>
      </c>
      <c r="G12" s="230">
        <v>0.16800000000000001</v>
      </c>
      <c r="H12" s="223" t="s">
        <v>133</v>
      </c>
      <c r="I12" s="45">
        <f>IF(F12="nein","",D12*G12)</f>
        <v>105231.84000000001</v>
      </c>
      <c r="J12" s="223" t="s">
        <v>29</v>
      </c>
      <c r="K12" s="231">
        <v>0.05</v>
      </c>
      <c r="L12" s="68">
        <v>5.0000000000000001E-3</v>
      </c>
      <c r="M12" s="232"/>
      <c r="N12" s="32"/>
      <c r="O12" s="9"/>
      <c r="P12" s="9"/>
      <c r="Q12" s="9"/>
      <c r="R12" s="9"/>
      <c r="S12" s="9"/>
      <c r="T12" s="9"/>
      <c r="U12" s="9"/>
      <c r="V12" s="9"/>
      <c r="W12" s="9"/>
      <c r="X12" s="9"/>
      <c r="Y12" s="9"/>
      <c r="Z12" s="9"/>
      <c r="AA12" s="9"/>
      <c r="AB12" s="9"/>
      <c r="AC12" s="10"/>
    </row>
    <row r="13" spans="1:29" ht="20.5" customHeight="1" x14ac:dyDescent="0.15">
      <c r="A13" s="24"/>
      <c r="B13" s="332"/>
      <c r="C13" s="223" t="s">
        <v>134</v>
      </c>
      <c r="D13" s="229">
        <v>30203</v>
      </c>
      <c r="E13" s="225" t="s">
        <v>28</v>
      </c>
      <c r="F13" s="225" t="s">
        <v>16</v>
      </c>
      <c r="G13" s="230">
        <v>0.04</v>
      </c>
      <c r="H13" s="223" t="s">
        <v>133</v>
      </c>
      <c r="I13" s="45">
        <f>IF(F13="nein","",D13*G13)</f>
        <v>1208.1200000000001</v>
      </c>
      <c r="J13" s="223" t="s">
        <v>29</v>
      </c>
      <c r="K13" s="233">
        <v>0</v>
      </c>
      <c r="L13" s="68">
        <f>L12</f>
        <v>5.0000000000000001E-3</v>
      </c>
      <c r="M13" s="232"/>
      <c r="N13" s="32"/>
      <c r="O13" s="9"/>
      <c r="P13" s="9"/>
      <c r="Q13" s="9"/>
      <c r="R13" s="9"/>
      <c r="S13" s="9"/>
      <c r="T13" s="9"/>
      <c r="U13" s="9"/>
      <c r="V13" s="9"/>
      <c r="W13" s="9"/>
      <c r="X13" s="9"/>
      <c r="Y13" s="9"/>
      <c r="Z13" s="9"/>
      <c r="AA13" s="9"/>
      <c r="AB13" s="9"/>
      <c r="AC13" s="10"/>
    </row>
    <row r="14" spans="1:29" ht="20.5" customHeight="1" x14ac:dyDescent="0.15">
      <c r="A14" s="24"/>
      <c r="B14" s="332"/>
      <c r="C14" s="223" t="s">
        <v>135</v>
      </c>
      <c r="D14" s="225" t="s">
        <v>18</v>
      </c>
      <c r="E14" s="234"/>
      <c r="F14" s="225" t="s">
        <v>38</v>
      </c>
      <c r="G14" s="235"/>
      <c r="H14" s="236"/>
      <c r="I14" s="49" t="str">
        <f>IF(F14="nein","",D14*G14)</f>
        <v/>
      </c>
      <c r="J14" s="223" t="s">
        <v>29</v>
      </c>
      <c r="K14" s="234"/>
      <c r="L14" s="234"/>
      <c r="M14" s="232"/>
      <c r="N14" s="32"/>
      <c r="O14" s="9"/>
      <c r="P14" s="9"/>
      <c r="Q14" s="9"/>
      <c r="R14" s="9"/>
      <c r="S14" s="9"/>
      <c r="T14" s="9"/>
      <c r="U14" s="9"/>
      <c r="V14" s="9"/>
      <c r="W14" s="9"/>
      <c r="X14" s="9"/>
      <c r="Y14" s="9"/>
      <c r="Z14" s="9"/>
      <c r="AA14" s="9"/>
      <c r="AB14" s="9"/>
      <c r="AC14" s="10"/>
    </row>
    <row r="15" spans="1:29" ht="20.5" customHeight="1" x14ac:dyDescent="0.15">
      <c r="A15" s="24"/>
      <c r="B15" s="333"/>
      <c r="C15" s="237" t="s">
        <v>136</v>
      </c>
      <c r="D15" s="238" t="s">
        <v>18</v>
      </c>
      <c r="E15" s="239"/>
      <c r="F15" s="238" t="s">
        <v>38</v>
      </c>
      <c r="G15" s="240"/>
      <c r="H15" s="241"/>
      <c r="I15" s="56" t="str">
        <f>IF(F15="nein","",D15*G15)</f>
        <v/>
      </c>
      <c r="J15" s="237" t="s">
        <v>29</v>
      </c>
      <c r="K15" s="239"/>
      <c r="L15" s="239"/>
      <c r="M15" s="242"/>
      <c r="N15" s="32"/>
      <c r="O15" s="9"/>
      <c r="P15" s="9"/>
      <c r="Q15" s="9"/>
      <c r="R15" s="9"/>
      <c r="S15" s="9"/>
      <c r="T15" s="9"/>
      <c r="U15" s="9"/>
      <c r="V15" s="9"/>
      <c r="W15" s="9"/>
      <c r="X15" s="9"/>
      <c r="Y15" s="9"/>
      <c r="Z15" s="9"/>
      <c r="AA15" s="9"/>
      <c r="AB15" s="9"/>
      <c r="AC15" s="10"/>
    </row>
    <row r="16" spans="1:29" ht="24.5" customHeight="1" x14ac:dyDescent="0.15">
      <c r="A16" s="6"/>
      <c r="B16" s="58"/>
      <c r="C16" s="59"/>
      <c r="D16" s="60"/>
      <c r="E16" s="60"/>
      <c r="F16" s="60"/>
      <c r="G16" s="60"/>
      <c r="H16" s="60"/>
      <c r="I16" s="60"/>
      <c r="J16" s="60"/>
      <c r="K16" s="60"/>
      <c r="L16" s="60"/>
      <c r="M16" s="60"/>
      <c r="N16" s="9"/>
      <c r="O16" s="9"/>
      <c r="P16" s="9"/>
      <c r="Q16" s="9"/>
      <c r="R16" s="9"/>
      <c r="S16" s="9"/>
      <c r="T16" s="9"/>
      <c r="U16" s="9"/>
      <c r="V16" s="9"/>
      <c r="W16" s="9"/>
      <c r="X16" s="9"/>
      <c r="Y16" s="9"/>
      <c r="Z16" s="9"/>
      <c r="AA16" s="9"/>
      <c r="AB16" s="9"/>
      <c r="AC16" s="10"/>
    </row>
    <row r="17" spans="1:29" ht="24.5" customHeight="1" x14ac:dyDescent="0.15">
      <c r="A17" s="6"/>
      <c r="B17" s="13" t="s">
        <v>42</v>
      </c>
      <c r="C17" s="61"/>
      <c r="D17" s="15"/>
      <c r="E17" s="15"/>
      <c r="F17" s="9"/>
      <c r="G17" s="9"/>
      <c r="H17" s="9"/>
      <c r="I17" s="9"/>
      <c r="J17" s="9"/>
      <c r="K17" s="9"/>
      <c r="L17" s="9"/>
      <c r="M17" s="9"/>
      <c r="N17" s="9"/>
      <c r="O17" s="9"/>
      <c r="P17" s="9"/>
      <c r="Q17" s="9"/>
      <c r="R17" s="9"/>
      <c r="S17" s="9"/>
      <c r="T17" s="9"/>
      <c r="U17" s="9"/>
      <c r="V17" s="9"/>
      <c r="W17" s="9"/>
      <c r="X17" s="9"/>
      <c r="Y17" s="9"/>
      <c r="Z17" s="9"/>
      <c r="AA17" s="9"/>
      <c r="AB17" s="9"/>
      <c r="AC17" s="10"/>
    </row>
    <row r="18" spans="1:29" ht="53" customHeight="1" x14ac:dyDescent="0.15">
      <c r="A18" s="24"/>
      <c r="B18" s="62" t="s">
        <v>43</v>
      </c>
      <c r="C18" s="63" t="s">
        <v>44</v>
      </c>
      <c r="D18" s="63" t="s">
        <v>45</v>
      </c>
      <c r="E18" s="64" t="s">
        <v>46</v>
      </c>
      <c r="F18" s="32"/>
      <c r="G18" s="325"/>
      <c r="H18" s="323"/>
      <c r="I18" s="323"/>
      <c r="J18" s="323"/>
      <c r="K18" s="323"/>
      <c r="L18" s="323"/>
      <c r="M18" s="323"/>
      <c r="N18" s="9"/>
      <c r="O18" s="9"/>
      <c r="P18" s="9"/>
      <c r="Q18" s="9"/>
      <c r="R18" s="9"/>
      <c r="S18" s="9"/>
      <c r="T18" s="9"/>
      <c r="U18" s="9"/>
      <c r="V18" s="9"/>
      <c r="W18" s="9"/>
      <c r="X18" s="9"/>
      <c r="Y18" s="9"/>
      <c r="Z18" s="9"/>
      <c r="AA18" s="9"/>
      <c r="AB18" s="9"/>
      <c r="AC18" s="10"/>
    </row>
    <row r="19" spans="1:29" ht="20.5" customHeight="1" x14ac:dyDescent="0.15">
      <c r="A19" s="24"/>
      <c r="B19" s="66" t="s">
        <v>47</v>
      </c>
      <c r="C19" s="334">
        <v>1</v>
      </c>
      <c r="D19" s="335"/>
      <c r="E19" s="336"/>
      <c r="F19" s="32"/>
      <c r="G19" s="9"/>
      <c r="H19" s="9"/>
      <c r="I19" s="9"/>
      <c r="J19" s="9"/>
      <c r="K19" s="9"/>
      <c r="L19" s="9"/>
      <c r="M19" s="9"/>
      <c r="N19" s="9"/>
      <c r="O19" s="9"/>
      <c r="P19" s="9"/>
      <c r="Q19" s="9"/>
      <c r="R19" s="9"/>
      <c r="S19" s="9"/>
      <c r="T19" s="9"/>
      <c r="U19" s="9"/>
      <c r="V19" s="9"/>
      <c r="W19" s="9"/>
      <c r="X19" s="9"/>
      <c r="Y19" s="9"/>
      <c r="Z19" s="9"/>
      <c r="AA19" s="9"/>
      <c r="AB19" s="9"/>
      <c r="AC19" s="10"/>
    </row>
    <row r="20" spans="1:29" ht="20.5" customHeight="1" x14ac:dyDescent="0.15">
      <c r="A20" s="24"/>
      <c r="B20" s="67" t="s">
        <v>48</v>
      </c>
      <c r="C20" s="328">
        <f>100%-C19</f>
        <v>0</v>
      </c>
      <c r="D20" s="329"/>
      <c r="E20" s="330"/>
      <c r="F20" s="32"/>
      <c r="G20" s="9"/>
      <c r="H20" s="9"/>
      <c r="I20" s="9"/>
      <c r="J20" s="9"/>
      <c r="K20" s="9"/>
      <c r="L20" s="9"/>
      <c r="M20" s="9"/>
      <c r="N20" s="9"/>
      <c r="O20" s="9"/>
      <c r="P20" s="9"/>
      <c r="Q20" s="9"/>
      <c r="R20" s="9"/>
      <c r="S20" s="9"/>
      <c r="T20" s="9"/>
      <c r="U20" s="9"/>
      <c r="V20" s="9"/>
      <c r="W20" s="9"/>
      <c r="X20" s="9"/>
      <c r="Y20" s="9"/>
      <c r="Z20" s="9"/>
      <c r="AA20" s="9"/>
      <c r="AB20" s="9"/>
      <c r="AC20" s="10"/>
    </row>
    <row r="21" spans="1:29" ht="20.5" customHeight="1" x14ac:dyDescent="0.15">
      <c r="A21" s="24"/>
      <c r="B21" s="67" t="s">
        <v>49</v>
      </c>
      <c r="C21" s="68">
        <v>2.5000000000000001E-2</v>
      </c>
      <c r="D21" s="68">
        <v>0.03</v>
      </c>
      <c r="E21" s="69">
        <v>0.01</v>
      </c>
      <c r="F21" s="32"/>
      <c r="G21" s="9"/>
      <c r="H21" s="9"/>
      <c r="I21" s="9"/>
      <c r="J21" s="9"/>
      <c r="K21" s="9"/>
      <c r="L21" s="9"/>
      <c r="M21" s="9"/>
      <c r="N21" s="9"/>
      <c r="O21" s="9"/>
      <c r="P21" s="9"/>
      <c r="Q21" s="9"/>
      <c r="R21" s="9"/>
      <c r="S21" s="9"/>
      <c r="T21" s="9"/>
      <c r="U21" s="9"/>
      <c r="V21" s="9"/>
      <c r="W21" s="9"/>
      <c r="X21" s="9"/>
      <c r="Y21" s="9"/>
      <c r="Z21" s="9"/>
      <c r="AA21" s="9"/>
      <c r="AB21" s="9"/>
      <c r="AC21" s="10"/>
    </row>
    <row r="22" spans="1:29" ht="21" customHeight="1" x14ac:dyDescent="0.15">
      <c r="A22" s="24"/>
      <c r="B22" s="67" t="s">
        <v>50</v>
      </c>
      <c r="C22" s="68">
        <v>0</v>
      </c>
      <c r="D22" s="68">
        <v>0</v>
      </c>
      <c r="E22" s="69">
        <v>0</v>
      </c>
      <c r="F22" s="32"/>
      <c r="G22" s="9"/>
      <c r="H22" s="9"/>
      <c r="I22" s="9"/>
      <c r="J22" s="9"/>
      <c r="K22" s="9"/>
      <c r="L22" s="9"/>
      <c r="M22" s="9"/>
      <c r="N22" s="9"/>
      <c r="O22" s="9"/>
      <c r="P22" s="9"/>
      <c r="Q22" s="9"/>
      <c r="R22" s="9"/>
      <c r="S22" s="9"/>
      <c r="T22" s="9"/>
      <c r="U22" s="9"/>
      <c r="V22" s="9"/>
      <c r="W22" s="9"/>
      <c r="X22" s="9"/>
      <c r="Y22" s="9"/>
      <c r="Z22" s="9"/>
      <c r="AA22" s="9"/>
      <c r="AB22" s="9"/>
      <c r="AC22" s="10"/>
    </row>
    <row r="23" spans="1:29" ht="40.5" customHeight="1" x14ac:dyDescent="0.15">
      <c r="A23" s="24"/>
      <c r="B23" s="70" t="s">
        <v>51</v>
      </c>
      <c r="C23" s="71">
        <f>C21*C19+C22*C20</f>
        <v>2.5000000000000001E-2</v>
      </c>
      <c r="D23" s="71">
        <f>D21*C19+D22*C20</f>
        <v>0.03</v>
      </c>
      <c r="E23" s="72">
        <f>E21*C19+E22*C20</f>
        <v>0.01</v>
      </c>
      <c r="F23" s="32"/>
      <c r="G23" s="9"/>
      <c r="H23" s="9"/>
      <c r="I23" s="324"/>
      <c r="J23" s="323"/>
      <c r="K23" s="73"/>
      <c r="L23" s="73"/>
      <c r="M23" s="73"/>
      <c r="N23" s="73"/>
      <c r="O23" s="73"/>
      <c r="P23" s="73"/>
      <c r="Q23" s="73"/>
      <c r="R23" s="73"/>
      <c r="S23" s="9"/>
      <c r="T23" s="9"/>
      <c r="U23" s="9"/>
      <c r="V23" s="9"/>
      <c r="W23" s="9"/>
      <c r="X23" s="9"/>
      <c r="Y23" s="9"/>
      <c r="Z23" s="9"/>
      <c r="AA23" s="9"/>
      <c r="AB23" s="9"/>
      <c r="AC23" s="10"/>
    </row>
    <row r="24" spans="1:29" ht="24.5" customHeight="1" x14ac:dyDescent="0.15">
      <c r="A24" s="6"/>
      <c r="B24" s="58"/>
      <c r="C24" s="59"/>
      <c r="D24" s="60"/>
      <c r="E24" s="60"/>
      <c r="F24" s="9"/>
      <c r="G24" s="9"/>
      <c r="H24" s="9"/>
      <c r="I24" s="73"/>
      <c r="J24" s="73"/>
      <c r="K24" s="73"/>
      <c r="L24" s="73"/>
      <c r="M24" s="73"/>
      <c r="N24" s="73"/>
      <c r="O24" s="73"/>
      <c r="P24" s="73"/>
      <c r="Q24" s="73"/>
      <c r="R24" s="73"/>
      <c r="S24" s="9"/>
      <c r="T24" s="9"/>
      <c r="U24" s="9"/>
      <c r="V24" s="9"/>
      <c r="W24" s="9"/>
      <c r="X24" s="9"/>
      <c r="Y24" s="9"/>
      <c r="Z24" s="9"/>
      <c r="AA24" s="9"/>
      <c r="AB24" s="9"/>
      <c r="AC24" s="10"/>
    </row>
    <row r="25" spans="1:29" ht="24.5" customHeight="1" x14ac:dyDescent="0.15">
      <c r="A25" s="6"/>
      <c r="B25" s="74" t="s">
        <v>52</v>
      </c>
      <c r="C25" s="75"/>
      <c r="D25" s="76"/>
      <c r="E25" s="76"/>
      <c r="F25" s="9"/>
      <c r="G25" s="9"/>
      <c r="H25" s="9"/>
      <c r="I25" s="324"/>
      <c r="J25" s="73"/>
      <c r="K25" s="73"/>
      <c r="L25" s="73"/>
      <c r="M25" s="73"/>
      <c r="N25" s="73"/>
      <c r="O25" s="73"/>
      <c r="P25" s="73"/>
      <c r="Q25" s="73"/>
      <c r="R25" s="73"/>
      <c r="S25" s="9"/>
      <c r="T25" s="9"/>
      <c r="U25" s="9"/>
      <c r="V25" s="9"/>
      <c r="W25" s="9"/>
      <c r="X25" s="9"/>
      <c r="Y25" s="9"/>
      <c r="Z25" s="9"/>
      <c r="AA25" s="9"/>
      <c r="AB25" s="9"/>
      <c r="AC25" s="10"/>
    </row>
    <row r="26" spans="1:29" ht="25.5" customHeight="1" x14ac:dyDescent="0.15">
      <c r="A26" s="77"/>
      <c r="B26" s="78" t="s">
        <v>53</v>
      </c>
      <c r="C26" s="79" t="s">
        <v>54</v>
      </c>
      <c r="D26" s="80" t="s">
        <v>55</v>
      </c>
      <c r="E26" s="81" t="s">
        <v>56</v>
      </c>
      <c r="F26" s="82"/>
      <c r="G26" s="9"/>
      <c r="H26" s="9"/>
      <c r="I26" s="323"/>
      <c r="J26" s="73"/>
      <c r="K26" s="73"/>
      <c r="L26" s="73"/>
      <c r="M26" s="73"/>
      <c r="N26" s="73"/>
      <c r="O26" s="73"/>
      <c r="P26" s="73"/>
      <c r="Q26" s="73"/>
      <c r="R26" s="73"/>
      <c r="S26" s="9"/>
      <c r="T26" s="9"/>
      <c r="U26" s="9"/>
      <c r="V26" s="9"/>
      <c r="W26" s="9"/>
      <c r="X26" s="9"/>
      <c r="Y26" s="9"/>
      <c r="Z26" s="9"/>
      <c r="AA26" s="9"/>
      <c r="AB26" s="9"/>
      <c r="AC26" s="10"/>
    </row>
    <row r="27" spans="1:29" ht="25" customHeight="1" x14ac:dyDescent="0.15">
      <c r="A27" s="77"/>
      <c r="B27" s="243" t="s">
        <v>57</v>
      </c>
      <c r="C27" s="84">
        <f>I8+I9+I10</f>
        <v>826400</v>
      </c>
      <c r="D27" s="85">
        <f>C27*1.2</f>
        <v>991680</v>
      </c>
      <c r="E27" s="86">
        <f>C27*0.8</f>
        <v>661120</v>
      </c>
      <c r="F27" s="82"/>
      <c r="G27" s="9"/>
      <c r="H27" s="9"/>
      <c r="I27" s="323"/>
      <c r="J27" s="73"/>
      <c r="K27" s="73"/>
      <c r="L27" s="73"/>
      <c r="M27" s="73"/>
      <c r="N27" s="73"/>
      <c r="O27" s="73"/>
      <c r="P27" s="73"/>
      <c r="Q27" s="73"/>
      <c r="R27" s="73"/>
      <c r="S27" s="9"/>
      <c r="T27" s="9"/>
      <c r="U27" s="9"/>
      <c r="V27" s="9"/>
      <c r="W27" s="9"/>
      <c r="X27" s="9"/>
      <c r="Y27" s="9"/>
      <c r="Z27" s="9"/>
      <c r="AA27" s="9"/>
      <c r="AB27" s="9"/>
      <c r="AC27" s="10"/>
    </row>
    <row r="28" spans="1:29" ht="25" customHeight="1" x14ac:dyDescent="0.15">
      <c r="A28" s="77"/>
      <c r="B28" s="95" t="s">
        <v>137</v>
      </c>
      <c r="C28" s="244">
        <f>C27/772</f>
        <v>1070.4663212435232</v>
      </c>
      <c r="D28" s="245">
        <f>D27/772</f>
        <v>1284.5595854922281</v>
      </c>
      <c r="E28" s="246">
        <f>E27/772</f>
        <v>856.37305699481863</v>
      </c>
      <c r="F28" s="82"/>
      <c r="G28" s="9"/>
      <c r="H28" s="9"/>
      <c r="I28" s="65"/>
      <c r="J28" s="73"/>
      <c r="K28" s="73"/>
      <c r="L28" s="73"/>
      <c r="M28" s="73"/>
      <c r="N28" s="73"/>
      <c r="O28" s="73"/>
      <c r="P28" s="73"/>
      <c r="Q28" s="73"/>
      <c r="R28" s="73"/>
      <c r="S28" s="9"/>
      <c r="T28" s="9"/>
      <c r="U28" s="9"/>
      <c r="V28" s="9"/>
      <c r="W28" s="9"/>
      <c r="X28" s="9"/>
      <c r="Y28" s="9"/>
      <c r="Z28" s="9"/>
      <c r="AA28" s="9"/>
      <c r="AB28" s="9"/>
      <c r="AC28" s="10"/>
    </row>
    <row r="29" spans="1:29" ht="24.25" customHeight="1" x14ac:dyDescent="0.15">
      <c r="A29" s="77"/>
      <c r="B29" s="95" t="s">
        <v>138</v>
      </c>
      <c r="C29" s="247">
        <f>I11</f>
        <v>3795</v>
      </c>
      <c r="D29" s="248">
        <f>C29*1.2</f>
        <v>4554</v>
      </c>
      <c r="E29" s="249">
        <f>C29*0.8</f>
        <v>3036</v>
      </c>
      <c r="F29" s="82"/>
      <c r="G29" s="9"/>
      <c r="H29" s="9"/>
      <c r="I29" s="73"/>
      <c r="J29" s="73"/>
      <c r="K29" s="73"/>
      <c r="L29" s="73"/>
      <c r="M29" s="73"/>
      <c r="N29" s="73"/>
      <c r="O29" s="73"/>
      <c r="P29" s="73"/>
      <c r="Q29" s="73"/>
      <c r="R29" s="73"/>
      <c r="S29" s="9"/>
      <c r="T29" s="9"/>
      <c r="U29" s="9"/>
      <c r="V29" s="9"/>
      <c r="W29" s="9"/>
      <c r="X29" s="9"/>
      <c r="Y29" s="9"/>
      <c r="Z29" s="9"/>
      <c r="AA29" s="9"/>
      <c r="AB29" s="9"/>
      <c r="AC29" s="10"/>
    </row>
    <row r="30" spans="1:29" ht="24.25" customHeight="1" x14ac:dyDescent="0.15">
      <c r="A30" s="77"/>
      <c r="B30" s="95" t="s">
        <v>139</v>
      </c>
      <c r="C30" s="91">
        <v>0.96599999999999997</v>
      </c>
      <c r="D30" s="92">
        <v>0.7</v>
      </c>
      <c r="E30" s="250">
        <v>0.98</v>
      </c>
      <c r="F30" s="82"/>
      <c r="G30" s="9"/>
      <c r="H30" s="9"/>
      <c r="I30" s="73"/>
      <c r="J30" s="73"/>
      <c r="K30" s="73"/>
      <c r="L30" s="73"/>
      <c r="M30" s="73"/>
      <c r="N30" s="73"/>
      <c r="O30" s="73"/>
      <c r="P30" s="73"/>
      <c r="Q30" s="73"/>
      <c r="R30" s="73"/>
      <c r="S30" s="9"/>
      <c r="T30" s="9"/>
      <c r="U30" s="9"/>
      <c r="V30" s="9"/>
      <c r="W30" s="9"/>
      <c r="X30" s="9"/>
      <c r="Y30" s="9"/>
      <c r="Z30" s="9"/>
      <c r="AA30" s="9"/>
      <c r="AB30" s="9"/>
      <c r="AC30" s="10"/>
    </row>
    <row r="31" spans="1:29" ht="24.25" customHeight="1" x14ac:dyDescent="0.15">
      <c r="A31" s="77"/>
      <c r="B31" s="95" t="s">
        <v>140</v>
      </c>
      <c r="C31" s="88">
        <f>D12</f>
        <v>626380</v>
      </c>
      <c r="D31" s="89">
        <v>459608</v>
      </c>
      <c r="E31" s="90">
        <v>543451</v>
      </c>
      <c r="F31" s="82"/>
      <c r="G31" s="9"/>
      <c r="H31" s="9"/>
      <c r="I31" s="73"/>
      <c r="J31" s="73"/>
      <c r="K31" s="73"/>
      <c r="L31" s="73"/>
      <c r="M31" s="73"/>
      <c r="N31" s="73"/>
      <c r="O31" s="73"/>
      <c r="P31" s="73"/>
      <c r="Q31" s="73"/>
      <c r="R31" s="73"/>
      <c r="S31" s="9"/>
      <c r="T31" s="9"/>
      <c r="U31" s="9"/>
      <c r="V31" s="9"/>
      <c r="W31" s="9"/>
      <c r="X31" s="9"/>
      <c r="Y31" s="9"/>
      <c r="Z31" s="9"/>
      <c r="AA31" s="9"/>
      <c r="AB31" s="9"/>
      <c r="AC31" s="10"/>
    </row>
    <row r="32" spans="1:29" ht="24.25" customHeight="1" x14ac:dyDescent="0.15">
      <c r="A32" s="77"/>
      <c r="B32" s="95" t="s">
        <v>141</v>
      </c>
      <c r="C32" s="88">
        <f>D13</f>
        <v>30203</v>
      </c>
      <c r="D32" s="89">
        <v>196975</v>
      </c>
      <c r="E32" s="90">
        <v>13132</v>
      </c>
      <c r="F32" s="82"/>
      <c r="G32" s="9"/>
      <c r="H32" s="9"/>
      <c r="I32" s="65"/>
      <c r="J32" s="73"/>
      <c r="K32" s="73"/>
      <c r="L32" s="73"/>
      <c r="M32" s="73"/>
      <c r="N32" s="73"/>
      <c r="O32" s="73"/>
      <c r="P32" s="73"/>
      <c r="Q32" s="73"/>
      <c r="R32" s="73"/>
      <c r="S32" s="9"/>
      <c r="T32" s="9"/>
      <c r="U32" s="9"/>
      <c r="V32" s="9"/>
      <c r="W32" s="9"/>
      <c r="X32" s="9"/>
      <c r="Y32" s="9"/>
      <c r="Z32" s="9"/>
      <c r="AA32" s="9"/>
      <c r="AB32" s="9"/>
      <c r="AC32" s="10"/>
    </row>
    <row r="33" spans="1:29" ht="24.25" customHeight="1" x14ac:dyDescent="0.15">
      <c r="A33" s="77"/>
      <c r="B33" s="95" t="s">
        <v>142</v>
      </c>
      <c r="C33" s="91">
        <v>0.05</v>
      </c>
      <c r="D33" s="92">
        <v>0.03</v>
      </c>
      <c r="E33" s="93">
        <v>0.05</v>
      </c>
      <c r="F33" s="82"/>
      <c r="G33" s="9"/>
      <c r="H33" s="9"/>
      <c r="I33" s="65"/>
      <c r="J33" s="73"/>
      <c r="K33" s="73"/>
      <c r="L33" s="73"/>
      <c r="M33" s="73"/>
      <c r="N33" s="73"/>
      <c r="O33" s="73"/>
      <c r="P33" s="73"/>
      <c r="Q33" s="73"/>
      <c r="R33" s="73"/>
      <c r="S33" s="9"/>
      <c r="T33" s="9"/>
      <c r="U33" s="9"/>
      <c r="V33" s="9"/>
      <c r="W33" s="9"/>
      <c r="X33" s="9"/>
      <c r="Y33" s="9"/>
      <c r="Z33" s="9"/>
      <c r="AA33" s="9"/>
      <c r="AB33" s="9"/>
      <c r="AC33" s="10"/>
    </row>
    <row r="34" spans="1:29" ht="40.25" customHeight="1" x14ac:dyDescent="0.15">
      <c r="A34" s="77"/>
      <c r="B34" s="95" t="s">
        <v>60</v>
      </c>
      <c r="C34" s="91">
        <v>0.04</v>
      </c>
      <c r="D34" s="92">
        <v>0.06</v>
      </c>
      <c r="E34" s="93">
        <v>0.02</v>
      </c>
      <c r="F34" s="82"/>
      <c r="G34" s="9"/>
      <c r="H34" s="9"/>
      <c r="I34" s="65"/>
      <c r="J34" s="73"/>
      <c r="K34" s="73"/>
      <c r="L34" s="73"/>
      <c r="M34" s="73"/>
      <c r="N34" s="73"/>
      <c r="O34" s="73"/>
      <c r="P34" s="73"/>
      <c r="Q34" s="73"/>
      <c r="R34" s="73"/>
      <c r="S34" s="9"/>
      <c r="T34" s="9"/>
      <c r="U34" s="9"/>
      <c r="V34" s="9"/>
      <c r="W34" s="9"/>
      <c r="X34" s="9"/>
      <c r="Y34" s="9"/>
      <c r="Z34" s="9"/>
      <c r="AA34" s="9"/>
      <c r="AB34" s="9"/>
      <c r="AC34" s="10"/>
    </row>
    <row r="35" spans="1:29" ht="24.25" customHeight="1" x14ac:dyDescent="0.15">
      <c r="A35" s="77"/>
      <c r="B35" s="95" t="s">
        <v>61</v>
      </c>
      <c r="C35" s="96">
        <v>20</v>
      </c>
      <c r="D35" s="97">
        <v>20</v>
      </c>
      <c r="E35" s="98">
        <v>25</v>
      </c>
      <c r="F35" s="82"/>
      <c r="G35" s="9"/>
      <c r="H35" s="9"/>
      <c r="I35" s="65"/>
      <c r="J35" s="73"/>
      <c r="K35" s="73"/>
      <c r="L35" s="73"/>
      <c r="M35" s="73"/>
      <c r="N35" s="73"/>
      <c r="O35" s="73"/>
      <c r="P35" s="73"/>
      <c r="Q35" s="73"/>
      <c r="R35" s="73"/>
      <c r="S35" s="9"/>
      <c r="T35" s="9"/>
      <c r="U35" s="9"/>
      <c r="V35" s="9"/>
      <c r="W35" s="9"/>
      <c r="X35" s="9"/>
      <c r="Y35" s="9"/>
      <c r="Z35" s="9"/>
      <c r="AA35" s="9"/>
      <c r="AB35" s="9"/>
      <c r="AC35" s="10"/>
    </row>
    <row r="36" spans="1:29" ht="25" customHeight="1" x14ac:dyDescent="0.15">
      <c r="A36" s="77"/>
      <c r="B36" s="99" t="s">
        <v>62</v>
      </c>
      <c r="C36" s="251">
        <f>C23</f>
        <v>2.5000000000000001E-2</v>
      </c>
      <c r="D36" s="252">
        <f>D23</f>
        <v>0.03</v>
      </c>
      <c r="E36" s="253">
        <f>E23</f>
        <v>0.01</v>
      </c>
      <c r="F36" s="82"/>
      <c r="G36" s="9"/>
      <c r="H36" s="9"/>
      <c r="I36" s="65"/>
      <c r="J36" s="73"/>
      <c r="K36" s="73"/>
      <c r="L36" s="73"/>
      <c r="M36" s="73"/>
      <c r="N36" s="73"/>
      <c r="O36" s="73"/>
      <c r="P36" s="73"/>
      <c r="Q36" s="73"/>
      <c r="R36" s="73"/>
      <c r="S36" s="9"/>
      <c r="T36" s="9"/>
      <c r="U36" s="9"/>
      <c r="V36" s="9"/>
      <c r="W36" s="9"/>
      <c r="X36" s="9"/>
      <c r="Y36" s="9"/>
      <c r="Z36" s="9"/>
      <c r="AA36" s="9"/>
      <c r="AB36" s="9"/>
      <c r="AC36" s="10"/>
    </row>
    <row r="37" spans="1:29" ht="25.5" customHeight="1" x14ac:dyDescent="0.15">
      <c r="A37" s="103"/>
      <c r="B37" s="104" t="s">
        <v>63</v>
      </c>
      <c r="C37" s="105">
        <f>D59</f>
        <v>1838996.5238742656</v>
      </c>
      <c r="D37" s="106">
        <f>D80</f>
        <v>544137.76419788424</v>
      </c>
      <c r="E37" s="107">
        <f>D101</f>
        <v>3192834.2027422702</v>
      </c>
      <c r="F37" s="108"/>
      <c r="G37" s="109"/>
      <c r="H37" s="109"/>
      <c r="I37" s="109"/>
      <c r="J37" s="109"/>
      <c r="K37" s="109"/>
      <c r="L37" s="109"/>
      <c r="M37" s="109"/>
      <c r="N37" s="109"/>
      <c r="O37" s="109"/>
      <c r="P37" s="109"/>
      <c r="Q37" s="109"/>
      <c r="R37" s="109"/>
      <c r="S37" s="109"/>
      <c r="T37" s="109"/>
      <c r="U37" s="109"/>
      <c r="V37" s="109"/>
      <c r="W37" s="109"/>
      <c r="X37" s="109"/>
      <c r="Y37" s="109"/>
      <c r="Z37" s="109"/>
      <c r="AA37" s="109"/>
      <c r="AB37" s="109"/>
      <c r="AC37" s="110"/>
    </row>
    <row r="38" spans="1:29" ht="24.5" customHeight="1" x14ac:dyDescent="0.15">
      <c r="A38" s="6"/>
      <c r="B38" s="7"/>
      <c r="C38" s="111"/>
      <c r="D38" s="8"/>
      <c r="E38" s="8"/>
      <c r="F38" s="9"/>
      <c r="G38" s="9"/>
      <c r="H38" s="9"/>
      <c r="I38" s="9"/>
      <c r="J38" s="9"/>
      <c r="K38" s="9"/>
      <c r="L38" s="9"/>
      <c r="M38" s="9"/>
      <c r="N38" s="9"/>
      <c r="O38" s="9"/>
      <c r="P38" s="9"/>
      <c r="Q38" s="9"/>
      <c r="R38" s="9"/>
      <c r="S38" s="9"/>
      <c r="T38" s="9"/>
      <c r="U38" s="9"/>
      <c r="V38" s="9"/>
      <c r="W38" s="9"/>
      <c r="X38" s="9"/>
      <c r="Y38" s="9"/>
      <c r="Z38" s="9"/>
      <c r="AA38" s="9"/>
      <c r="AB38" s="9"/>
      <c r="AC38" s="10"/>
    </row>
    <row r="39" spans="1:29" ht="24.5" customHeight="1" x14ac:dyDescent="0.15">
      <c r="A39" s="6"/>
      <c r="B39" s="320" t="s">
        <v>64</v>
      </c>
      <c r="C39" s="321"/>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112"/>
    </row>
    <row r="40" spans="1:29" ht="25.5" customHeight="1" x14ac:dyDescent="0.15">
      <c r="A40" s="77"/>
      <c r="B40" s="113" t="s">
        <v>65</v>
      </c>
      <c r="C40" s="114"/>
      <c r="D40" s="115">
        <v>0</v>
      </c>
      <c r="E40" s="115">
        <v>1</v>
      </c>
      <c r="F40" s="115">
        <v>2</v>
      </c>
      <c r="G40" s="115">
        <v>3</v>
      </c>
      <c r="H40" s="115">
        <v>4</v>
      </c>
      <c r="I40" s="115">
        <v>5</v>
      </c>
      <c r="J40" s="115">
        <v>6</v>
      </c>
      <c r="K40" s="115">
        <v>7</v>
      </c>
      <c r="L40" s="115">
        <v>8</v>
      </c>
      <c r="M40" s="115">
        <v>9</v>
      </c>
      <c r="N40" s="115">
        <v>10</v>
      </c>
      <c r="O40" s="115">
        <v>11</v>
      </c>
      <c r="P40" s="115">
        <v>12</v>
      </c>
      <c r="Q40" s="115">
        <v>13</v>
      </c>
      <c r="R40" s="115">
        <v>14</v>
      </c>
      <c r="S40" s="115">
        <v>15</v>
      </c>
      <c r="T40" s="115">
        <v>16</v>
      </c>
      <c r="U40" s="115">
        <v>17</v>
      </c>
      <c r="V40" s="115">
        <v>18</v>
      </c>
      <c r="W40" s="115">
        <v>19</v>
      </c>
      <c r="X40" s="115">
        <v>20</v>
      </c>
      <c r="Y40" s="115">
        <v>21</v>
      </c>
      <c r="Z40" s="115">
        <v>22</v>
      </c>
      <c r="AA40" s="115">
        <v>23</v>
      </c>
      <c r="AB40" s="115">
        <v>24</v>
      </c>
      <c r="AC40" s="116">
        <v>25</v>
      </c>
    </row>
    <row r="41" spans="1:29" ht="25.5" customHeight="1" x14ac:dyDescent="0.15">
      <c r="A41" s="77"/>
      <c r="B41" s="117" t="s">
        <v>66</v>
      </c>
      <c r="C41" s="118">
        <f>C23</f>
        <v>2.5000000000000001E-2</v>
      </c>
      <c r="D41" s="119"/>
      <c r="E41" s="120"/>
      <c r="F41" s="8"/>
      <c r="G41" s="8"/>
      <c r="H41" s="8"/>
      <c r="I41" s="8"/>
      <c r="J41" s="8"/>
      <c r="K41" s="8"/>
      <c r="L41" s="8"/>
      <c r="M41" s="8"/>
      <c r="N41" s="8"/>
      <c r="O41" s="8"/>
      <c r="P41" s="8"/>
      <c r="Q41" s="8"/>
      <c r="R41" s="8"/>
      <c r="S41" s="8"/>
      <c r="T41" s="8"/>
      <c r="U41" s="8"/>
      <c r="V41" s="8"/>
      <c r="W41" s="8"/>
      <c r="X41" s="8"/>
      <c r="Y41" s="8"/>
      <c r="Z41" s="8"/>
      <c r="AA41" s="8"/>
      <c r="AB41" s="8"/>
      <c r="AC41" s="121"/>
    </row>
    <row r="42" spans="1:29" ht="25.5" customHeight="1" x14ac:dyDescent="0.15">
      <c r="A42" s="77"/>
      <c r="B42" s="122" t="s">
        <v>67</v>
      </c>
      <c r="C42" s="123">
        <f>C33</f>
        <v>0.05</v>
      </c>
      <c r="D42" s="124"/>
      <c r="E42" s="125"/>
      <c r="F42" s="322"/>
      <c r="G42" s="323"/>
      <c r="H42" s="323"/>
      <c r="I42" s="323"/>
      <c r="J42" s="323"/>
      <c r="K42" s="323"/>
      <c r="L42" s="323"/>
      <c r="M42" s="323"/>
      <c r="N42" s="125"/>
      <c r="O42" s="125"/>
      <c r="P42" s="125"/>
      <c r="Q42" s="125"/>
      <c r="R42" s="125"/>
      <c r="S42" s="125"/>
      <c r="T42" s="125"/>
      <c r="U42" s="125"/>
      <c r="V42" s="125"/>
      <c r="W42" s="125"/>
      <c r="X42" s="125"/>
      <c r="Y42" s="125"/>
      <c r="Z42" s="125"/>
      <c r="AA42" s="125"/>
      <c r="AB42" s="125"/>
      <c r="AC42" s="127"/>
    </row>
    <row r="43" spans="1:29" ht="25.5" customHeight="1" x14ac:dyDescent="0.15">
      <c r="A43" s="77"/>
      <c r="B43" s="122" t="s">
        <v>68</v>
      </c>
      <c r="C43" s="123">
        <f>C34</f>
        <v>0.04</v>
      </c>
      <c r="D43" s="124"/>
      <c r="E43" s="125"/>
      <c r="F43" s="323"/>
      <c r="G43" s="323"/>
      <c r="H43" s="323"/>
      <c r="I43" s="323"/>
      <c r="J43" s="323"/>
      <c r="K43" s="323"/>
      <c r="L43" s="323"/>
      <c r="M43" s="323"/>
      <c r="N43" s="125"/>
      <c r="O43" s="125"/>
      <c r="P43" s="125"/>
      <c r="Q43" s="125"/>
      <c r="R43" s="125"/>
      <c r="S43" s="125"/>
      <c r="T43" s="125"/>
      <c r="U43" s="125"/>
      <c r="V43" s="125"/>
      <c r="W43" s="125"/>
      <c r="X43" s="125"/>
      <c r="Y43" s="125"/>
      <c r="Z43" s="125"/>
      <c r="AA43" s="125"/>
      <c r="AB43" s="125"/>
      <c r="AC43" s="127"/>
    </row>
    <row r="44" spans="1:29" ht="25.5" customHeight="1" x14ac:dyDescent="0.15">
      <c r="A44" s="77"/>
      <c r="B44" s="122" t="s">
        <v>69</v>
      </c>
      <c r="C44" s="128">
        <f>G12</f>
        <v>0.16800000000000001</v>
      </c>
      <c r="D44" s="124"/>
      <c r="E44" s="125"/>
      <c r="F44" s="323"/>
      <c r="G44" s="323"/>
      <c r="H44" s="323"/>
      <c r="I44" s="323"/>
      <c r="J44" s="323"/>
      <c r="K44" s="323"/>
      <c r="L44" s="323"/>
      <c r="M44" s="323"/>
      <c r="N44" s="125"/>
      <c r="O44" s="125"/>
      <c r="P44" s="125"/>
      <c r="Q44" s="125"/>
      <c r="R44" s="125"/>
      <c r="S44" s="125"/>
      <c r="T44" s="125"/>
      <c r="U44" s="125"/>
      <c r="V44" s="125"/>
      <c r="W44" s="125"/>
      <c r="X44" s="125"/>
      <c r="Y44" s="125"/>
      <c r="Z44" s="125"/>
      <c r="AA44" s="125"/>
      <c r="AB44" s="125"/>
      <c r="AC44" s="127"/>
    </row>
    <row r="45" spans="1:29" ht="25.5" customHeight="1" x14ac:dyDescent="0.15">
      <c r="A45" s="77"/>
      <c r="B45" s="122" t="s">
        <v>143</v>
      </c>
      <c r="C45" s="128">
        <f>G13</f>
        <v>0.04</v>
      </c>
      <c r="D45" s="124"/>
      <c r="E45" s="125"/>
      <c r="F45" s="126"/>
      <c r="G45" s="126"/>
      <c r="H45" s="126"/>
      <c r="I45" s="126"/>
      <c r="J45" s="126"/>
      <c r="K45" s="126"/>
      <c r="L45" s="126"/>
      <c r="M45" s="126"/>
      <c r="N45" s="125"/>
      <c r="O45" s="125"/>
      <c r="P45" s="125"/>
      <c r="Q45" s="125"/>
      <c r="R45" s="125"/>
      <c r="S45" s="125"/>
      <c r="T45" s="125"/>
      <c r="U45" s="125"/>
      <c r="V45" s="125"/>
      <c r="W45" s="125"/>
      <c r="X45" s="125"/>
      <c r="Y45" s="125"/>
      <c r="Z45" s="125"/>
      <c r="AA45" s="125"/>
      <c r="AB45" s="125"/>
      <c r="AC45" s="127"/>
    </row>
    <row r="46" spans="1:29" ht="25.5" customHeight="1" x14ac:dyDescent="0.15">
      <c r="A46" s="77"/>
      <c r="B46" s="122" t="s">
        <v>70</v>
      </c>
      <c r="C46" s="129">
        <f>C35</f>
        <v>20</v>
      </c>
      <c r="D46" s="124"/>
      <c r="E46" s="125"/>
      <c r="F46" s="9"/>
      <c r="G46" s="9"/>
      <c r="H46" s="9"/>
      <c r="I46" s="9"/>
      <c r="J46" s="9"/>
      <c r="K46" s="9"/>
      <c r="L46" s="9"/>
      <c r="M46" s="9"/>
      <c r="N46" s="9"/>
      <c r="O46" s="9"/>
      <c r="P46" s="9"/>
      <c r="Q46" s="9"/>
      <c r="R46" s="9"/>
      <c r="S46" s="9"/>
      <c r="T46" s="9"/>
      <c r="U46" s="9"/>
      <c r="V46" s="9"/>
      <c r="W46" s="9"/>
      <c r="X46" s="9"/>
      <c r="Y46" s="9"/>
      <c r="Z46" s="9"/>
      <c r="AA46" s="9"/>
      <c r="AB46" s="9"/>
      <c r="AC46" s="130"/>
    </row>
    <row r="47" spans="1:29" ht="25.5" customHeight="1" x14ac:dyDescent="0.15">
      <c r="A47" s="77"/>
      <c r="B47" s="131" t="s">
        <v>71</v>
      </c>
      <c r="C47" s="132"/>
      <c r="D47" s="133">
        <f>IF(C46&gt;=D40,1,0)</f>
        <v>1</v>
      </c>
      <c r="E47" s="134">
        <f t="shared" ref="E47:AC47" si="0">IF($C$46&gt;=E40,1,0)</f>
        <v>1</v>
      </c>
      <c r="F47" s="134">
        <f t="shared" si="0"/>
        <v>1</v>
      </c>
      <c r="G47" s="134">
        <f t="shared" si="0"/>
        <v>1</v>
      </c>
      <c r="H47" s="134">
        <f t="shared" si="0"/>
        <v>1</v>
      </c>
      <c r="I47" s="134">
        <f t="shared" si="0"/>
        <v>1</v>
      </c>
      <c r="J47" s="134">
        <f t="shared" si="0"/>
        <v>1</v>
      </c>
      <c r="K47" s="134">
        <f t="shared" si="0"/>
        <v>1</v>
      </c>
      <c r="L47" s="134">
        <f t="shared" si="0"/>
        <v>1</v>
      </c>
      <c r="M47" s="134">
        <f t="shared" si="0"/>
        <v>1</v>
      </c>
      <c r="N47" s="134">
        <f t="shared" si="0"/>
        <v>1</v>
      </c>
      <c r="O47" s="134">
        <f t="shared" si="0"/>
        <v>1</v>
      </c>
      <c r="P47" s="134">
        <f t="shared" si="0"/>
        <v>1</v>
      </c>
      <c r="Q47" s="134">
        <f t="shared" si="0"/>
        <v>1</v>
      </c>
      <c r="R47" s="134">
        <f t="shared" si="0"/>
        <v>1</v>
      </c>
      <c r="S47" s="134">
        <f t="shared" si="0"/>
        <v>1</v>
      </c>
      <c r="T47" s="134">
        <f t="shared" si="0"/>
        <v>1</v>
      </c>
      <c r="U47" s="134">
        <f t="shared" si="0"/>
        <v>1</v>
      </c>
      <c r="V47" s="134">
        <f t="shared" si="0"/>
        <v>1</v>
      </c>
      <c r="W47" s="134">
        <f t="shared" si="0"/>
        <v>1</v>
      </c>
      <c r="X47" s="134">
        <f t="shared" si="0"/>
        <v>1</v>
      </c>
      <c r="Y47" s="134">
        <f t="shared" si="0"/>
        <v>0</v>
      </c>
      <c r="Z47" s="134">
        <f t="shared" si="0"/>
        <v>0</v>
      </c>
      <c r="AA47" s="134">
        <f t="shared" si="0"/>
        <v>0</v>
      </c>
      <c r="AB47" s="134">
        <f t="shared" si="0"/>
        <v>0</v>
      </c>
      <c r="AC47" s="135">
        <f t="shared" si="0"/>
        <v>0</v>
      </c>
    </row>
    <row r="48" spans="1:29" ht="25.5" customHeight="1" x14ac:dyDescent="0.15">
      <c r="A48" s="77"/>
      <c r="B48" s="117" t="s">
        <v>83</v>
      </c>
      <c r="C48" s="183" t="s">
        <v>73</v>
      </c>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6"/>
    </row>
    <row r="49" spans="1:29" ht="25.5" customHeight="1" x14ac:dyDescent="0.15">
      <c r="A49" s="77"/>
      <c r="B49" s="122" t="str">
        <f>$B27</f>
        <v>Investitionsauszahlung komplett</v>
      </c>
      <c r="C49" s="142">
        <f>C27</f>
        <v>826400</v>
      </c>
      <c r="D49" s="143">
        <f>-C49</f>
        <v>-826400</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5"/>
    </row>
    <row r="50" spans="1:29" ht="25.5" customHeight="1" x14ac:dyDescent="0.15">
      <c r="A50" s="77"/>
      <c r="B50" s="122" t="str">
        <f>$B29</f>
        <v>Jahresbetriebskosten</v>
      </c>
      <c r="C50" s="142">
        <f>C29</f>
        <v>3795</v>
      </c>
      <c r="D50" s="143"/>
      <c r="E50" s="144">
        <f t="shared" ref="E50:AC50" si="1">-$C$50*(1+$C$43)^E40</f>
        <v>-3946.8</v>
      </c>
      <c r="F50" s="144">
        <f t="shared" si="1"/>
        <v>-4104.6720000000005</v>
      </c>
      <c r="G50" s="144">
        <f t="shared" si="1"/>
        <v>-4268.8588800000007</v>
      </c>
      <c r="H50" s="144">
        <f t="shared" si="1"/>
        <v>-4439.6132352000004</v>
      </c>
      <c r="I50" s="144">
        <f t="shared" si="1"/>
        <v>-4617.1977646080013</v>
      </c>
      <c r="J50" s="144">
        <f t="shared" si="1"/>
        <v>-4801.8856751923213</v>
      </c>
      <c r="K50" s="144">
        <f t="shared" si="1"/>
        <v>-4993.9611022000136</v>
      </c>
      <c r="L50" s="144">
        <f t="shared" si="1"/>
        <v>-5193.7195462880154</v>
      </c>
      <c r="M50" s="144">
        <f t="shared" si="1"/>
        <v>-5401.4683281395364</v>
      </c>
      <c r="N50" s="144">
        <f t="shared" si="1"/>
        <v>-5617.5270612651175</v>
      </c>
      <c r="O50" s="144">
        <f t="shared" si="1"/>
        <v>-5842.2281437157217</v>
      </c>
      <c r="P50" s="144">
        <f t="shared" si="1"/>
        <v>-6075.9172694643521</v>
      </c>
      <c r="Q50" s="144">
        <f t="shared" si="1"/>
        <v>-6318.9539602429268</v>
      </c>
      <c r="R50" s="144">
        <f t="shared" si="1"/>
        <v>-6571.7121186526438</v>
      </c>
      <c r="S50" s="144">
        <f t="shared" si="1"/>
        <v>-6834.5806033987492</v>
      </c>
      <c r="T50" s="144">
        <f t="shared" si="1"/>
        <v>-7107.9638275346997</v>
      </c>
      <c r="U50" s="144">
        <f t="shared" si="1"/>
        <v>-7392.2823806360884</v>
      </c>
      <c r="V50" s="144">
        <f t="shared" si="1"/>
        <v>-7687.9736758615327</v>
      </c>
      <c r="W50" s="144">
        <f t="shared" si="1"/>
        <v>-7995.4926228959939</v>
      </c>
      <c r="X50" s="144">
        <f t="shared" si="1"/>
        <v>-8315.3123278118328</v>
      </c>
      <c r="Y50" s="144">
        <f t="shared" si="1"/>
        <v>-8647.9248209243087</v>
      </c>
      <c r="Z50" s="144">
        <f t="shared" si="1"/>
        <v>-8993.8418137612807</v>
      </c>
      <c r="AA50" s="144">
        <f t="shared" si="1"/>
        <v>-9353.5954863117313</v>
      </c>
      <c r="AB50" s="144">
        <f t="shared" si="1"/>
        <v>-9727.7393057642021</v>
      </c>
      <c r="AC50" s="145">
        <f t="shared" si="1"/>
        <v>-10116.848877994771</v>
      </c>
    </row>
    <row r="51" spans="1:29" ht="25.5" customHeight="1" x14ac:dyDescent="0.15">
      <c r="A51" s="77"/>
      <c r="B51" s="254"/>
      <c r="C51" s="194"/>
      <c r="D51" s="150">
        <f>-C51</f>
        <v>0</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2"/>
    </row>
    <row r="52" spans="1:29" ht="25.5" customHeight="1" x14ac:dyDescent="0.15">
      <c r="A52" s="77"/>
      <c r="B52" s="117" t="s">
        <v>84</v>
      </c>
      <c r="C52" s="183" t="s">
        <v>73</v>
      </c>
      <c r="D52" s="164"/>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6"/>
    </row>
    <row r="53" spans="1:29" ht="25.5" customHeight="1" x14ac:dyDescent="0.15">
      <c r="A53" s="77"/>
      <c r="B53" s="122" t="str">
        <f>$B31</f>
        <v xml:space="preserve">Jährliche Energieeinsparung </v>
      </c>
      <c r="C53" s="190">
        <f>C31</f>
        <v>626380</v>
      </c>
      <c r="D53" s="143"/>
      <c r="E53" s="144">
        <f t="shared" ref="E53:AC53" si="2">$C$53*(1-$L$12/100)^E40*$C$44*(1+$C$42)^E40</f>
        <v>110487.9073284</v>
      </c>
      <c r="F53" s="144">
        <f t="shared" si="2"/>
        <v>116006.50207968526</v>
      </c>
      <c r="G53" s="144">
        <f t="shared" si="2"/>
        <v>121800.73684231036</v>
      </c>
      <c r="H53" s="144">
        <f t="shared" si="2"/>
        <v>127884.37914574165</v>
      </c>
      <c r="I53" s="144">
        <f t="shared" si="2"/>
        <v>134271.8841731236</v>
      </c>
      <c r="J53" s="144">
        <f t="shared" si="2"/>
        <v>140978.42910786066</v>
      </c>
      <c r="K53" s="144">
        <f t="shared" si="2"/>
        <v>148019.94919572555</v>
      </c>
      <c r="L53" s="144">
        <f t="shared" si="2"/>
        <v>155413.17560817904</v>
      </c>
      <c r="M53" s="144">
        <f t="shared" si="2"/>
        <v>163175.67519686857</v>
      </c>
      <c r="N53" s="144">
        <f t="shared" si="2"/>
        <v>171325.89223376414</v>
      </c>
      <c r="O53" s="144">
        <f t="shared" si="2"/>
        <v>179883.19223611013</v>
      </c>
      <c r="P53" s="144">
        <f t="shared" si="2"/>
        <v>188867.90798032322</v>
      </c>
      <c r="Q53" s="144">
        <f t="shared" si="2"/>
        <v>198301.38781417042</v>
      </c>
      <c r="R53" s="144">
        <f t="shared" si="2"/>
        <v>208206.04638201866</v>
      </c>
      <c r="S53" s="144">
        <f t="shared" si="2"/>
        <v>218605.41788368457</v>
      </c>
      <c r="T53" s="144">
        <f t="shared" si="2"/>
        <v>229524.2119934299</v>
      </c>
      <c r="U53" s="144">
        <f t="shared" si="2"/>
        <v>240988.37257197179</v>
      </c>
      <c r="V53" s="144">
        <f t="shared" si="2"/>
        <v>253025.13931101037</v>
      </c>
      <c r="W53" s="144">
        <f t="shared" si="2"/>
        <v>265663.11245674704</v>
      </c>
      <c r="X53" s="144">
        <f t="shared" si="2"/>
        <v>278932.3207661804</v>
      </c>
      <c r="Y53" s="144">
        <f t="shared" si="2"/>
        <v>292864.29285764915</v>
      </c>
      <c r="Z53" s="144">
        <f t="shared" si="2"/>
        <v>307492.13212515658</v>
      </c>
      <c r="AA53" s="144">
        <f t="shared" si="2"/>
        <v>322850.59539447795</v>
      </c>
      <c r="AB53" s="144">
        <f t="shared" si="2"/>
        <v>338976.17550794355</v>
      </c>
      <c r="AC53" s="145">
        <f t="shared" si="2"/>
        <v>355907.18803412659</v>
      </c>
    </row>
    <row r="54" spans="1:29" ht="25.5" customHeight="1" x14ac:dyDescent="0.15">
      <c r="A54" s="77"/>
      <c r="B54" s="122" t="str">
        <f>$B32</f>
        <v xml:space="preserve">Jährliche Energieeinspeisung </v>
      </c>
      <c r="C54" s="190">
        <f>C32</f>
        <v>30203</v>
      </c>
      <c r="D54" s="143"/>
      <c r="E54" s="144">
        <f t="shared" ref="E54:AC54" si="3">$C$54*(1-$L$13/100)^E40*$C$45</f>
        <v>1208.0595940000001</v>
      </c>
      <c r="F54" s="144">
        <f t="shared" si="3"/>
        <v>1207.9991910203</v>
      </c>
      <c r="G54" s="144">
        <f t="shared" si="3"/>
        <v>1207.9387910607491</v>
      </c>
      <c r="H54" s="144">
        <f t="shared" si="3"/>
        <v>1207.8783941211959</v>
      </c>
      <c r="I54" s="144">
        <f t="shared" si="3"/>
        <v>1207.8180002014899</v>
      </c>
      <c r="J54" s="144">
        <f t="shared" si="3"/>
        <v>1207.7576093014798</v>
      </c>
      <c r="K54" s="144">
        <f t="shared" si="3"/>
        <v>1207.6972214210148</v>
      </c>
      <c r="L54" s="144">
        <f t="shared" si="3"/>
        <v>1207.6368365599437</v>
      </c>
      <c r="M54" s="144">
        <f t="shared" si="3"/>
        <v>1207.5764547181157</v>
      </c>
      <c r="N54" s="144">
        <f t="shared" si="3"/>
        <v>1207.5160758953798</v>
      </c>
      <c r="O54" s="144">
        <f t="shared" si="3"/>
        <v>1207.455700091585</v>
      </c>
      <c r="P54" s="144">
        <f t="shared" si="3"/>
        <v>1207.3953273065804</v>
      </c>
      <c r="Q54" s="144">
        <f t="shared" si="3"/>
        <v>1207.3349575402151</v>
      </c>
      <c r="R54" s="144">
        <f t="shared" si="3"/>
        <v>1207.2745907923379</v>
      </c>
      <c r="S54" s="144">
        <f t="shared" si="3"/>
        <v>1207.2142270627985</v>
      </c>
      <c r="T54" s="144">
        <f t="shared" si="3"/>
        <v>1207.1538663514455</v>
      </c>
      <c r="U54" s="144">
        <f t="shared" si="3"/>
        <v>1207.0935086581278</v>
      </c>
      <c r="V54" s="144">
        <f t="shared" si="3"/>
        <v>1207.033153982695</v>
      </c>
      <c r="W54" s="144">
        <f t="shared" si="3"/>
        <v>1206.9728023249957</v>
      </c>
      <c r="X54" s="144">
        <f t="shared" si="3"/>
        <v>1206.9124536848794</v>
      </c>
      <c r="Y54" s="144">
        <f t="shared" si="3"/>
        <v>1206.8521080621952</v>
      </c>
      <c r="Z54" s="144">
        <f t="shared" si="3"/>
        <v>1206.7917654567921</v>
      </c>
      <c r="AA54" s="144">
        <f t="shared" si="3"/>
        <v>1206.7314258685194</v>
      </c>
      <c r="AB54" s="144">
        <f t="shared" si="3"/>
        <v>1206.6710892972258</v>
      </c>
      <c r="AC54" s="145">
        <f t="shared" si="3"/>
        <v>1206.6107557427611</v>
      </c>
    </row>
    <row r="55" spans="1:29" ht="25.5" customHeight="1" x14ac:dyDescent="0.15">
      <c r="A55" s="77"/>
      <c r="B55" s="254"/>
      <c r="C55" s="194"/>
      <c r="D55" s="150">
        <f>C55</f>
        <v>0</v>
      </c>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2"/>
    </row>
    <row r="56" spans="1:29" ht="25.5" customHeight="1" x14ac:dyDescent="0.15">
      <c r="A56" s="77"/>
      <c r="B56" s="117" t="s">
        <v>78</v>
      </c>
      <c r="C56" s="163"/>
      <c r="D56" s="164">
        <f t="shared" ref="D56:AC56" si="4">(SUM(D49:D51)+SUM(D53:D55))*D47</f>
        <v>-826400</v>
      </c>
      <c r="E56" s="165">
        <f t="shared" si="4"/>
        <v>107749.16692240001</v>
      </c>
      <c r="F56" s="165">
        <f t="shared" si="4"/>
        <v>113109.82927070555</v>
      </c>
      <c r="G56" s="165">
        <f t="shared" si="4"/>
        <v>118739.81675337111</v>
      </c>
      <c r="H56" s="165">
        <f t="shared" si="4"/>
        <v>124652.64430466286</v>
      </c>
      <c r="I56" s="165">
        <f t="shared" si="4"/>
        <v>130862.50440871708</v>
      </c>
      <c r="J56" s="165">
        <f t="shared" si="4"/>
        <v>137384.30104196983</v>
      </c>
      <c r="K56" s="165">
        <f t="shared" si="4"/>
        <v>144233.68531494658</v>
      </c>
      <c r="L56" s="165">
        <f t="shared" si="4"/>
        <v>151427.09289845097</v>
      </c>
      <c r="M56" s="165">
        <f t="shared" si="4"/>
        <v>158981.78332344713</v>
      </c>
      <c r="N56" s="165">
        <f t="shared" si="4"/>
        <v>166915.88124839441</v>
      </c>
      <c r="O56" s="165">
        <f t="shared" si="4"/>
        <v>175248.41979248601</v>
      </c>
      <c r="P56" s="165">
        <f t="shared" si="4"/>
        <v>183999.38603816545</v>
      </c>
      <c r="Q56" s="165">
        <f t="shared" si="4"/>
        <v>193189.76881146771</v>
      </c>
      <c r="R56" s="165">
        <f t="shared" si="4"/>
        <v>202841.60885415834</v>
      </c>
      <c r="S56" s="165">
        <f t="shared" si="4"/>
        <v>212978.0515073486</v>
      </c>
      <c r="T56" s="165">
        <f t="shared" si="4"/>
        <v>223623.40203224664</v>
      </c>
      <c r="U56" s="165">
        <f t="shared" si="4"/>
        <v>234803.18369999382</v>
      </c>
      <c r="V56" s="165">
        <f t="shared" si="4"/>
        <v>246544.19878913154</v>
      </c>
      <c r="W56" s="165">
        <f t="shared" si="4"/>
        <v>258874.59263617604</v>
      </c>
      <c r="X56" s="165">
        <f t="shared" si="4"/>
        <v>271823.92089205346</v>
      </c>
      <c r="Y56" s="165">
        <f t="shared" si="4"/>
        <v>0</v>
      </c>
      <c r="Z56" s="165">
        <f t="shared" si="4"/>
        <v>0</v>
      </c>
      <c r="AA56" s="165">
        <f t="shared" si="4"/>
        <v>0</v>
      </c>
      <c r="AB56" s="165">
        <f t="shared" si="4"/>
        <v>0</v>
      </c>
      <c r="AC56" s="166">
        <f t="shared" si="4"/>
        <v>0</v>
      </c>
    </row>
    <row r="57" spans="1:29" ht="25.5" customHeight="1" x14ac:dyDescent="0.15">
      <c r="A57" s="77"/>
      <c r="B57" s="131" t="s">
        <v>79</v>
      </c>
      <c r="C57" s="167"/>
      <c r="D57" s="150">
        <f>(D56)/(1+$C$41)^D40</f>
        <v>-826400</v>
      </c>
      <c r="E57" s="151">
        <f t="shared" ref="E57:AC57" si="5">E56/(1+$C$41)^E40</f>
        <v>105121.13846087806</v>
      </c>
      <c r="F57" s="151">
        <f t="shared" si="5"/>
        <v>107659.56385076079</v>
      </c>
      <c r="G57" s="151">
        <f t="shared" si="5"/>
        <v>110261.72388989934</v>
      </c>
      <c r="H57" s="151">
        <f t="shared" si="5"/>
        <v>112929.14348380383</v>
      </c>
      <c r="I57" s="151">
        <f t="shared" si="5"/>
        <v>115663.38560896394</v>
      </c>
      <c r="J57" s="151">
        <f t="shared" si="5"/>
        <v>118466.05222066506</v>
      </c>
      <c r="K57" s="151">
        <f t="shared" si="5"/>
        <v>121338.78518342643</v>
      </c>
      <c r="L57" s="151">
        <f t="shared" si="5"/>
        <v>124283.26722459913</v>
      </c>
      <c r="M57" s="151">
        <f t="shared" si="5"/>
        <v>127301.22291167732</v>
      </c>
      <c r="N57" s="151">
        <f t="shared" si="5"/>
        <v>130394.41965388697</v>
      </c>
      <c r="O57" s="151">
        <f t="shared" si="5"/>
        <v>133564.66872863352</v>
      </c>
      <c r="P57" s="151">
        <f t="shared" si="5"/>
        <v>136813.82633340149</v>
      </c>
      <c r="Q57" s="151">
        <f t="shared" si="5"/>
        <v>140143.79466371649</v>
      </c>
      <c r="R57" s="151">
        <f t="shared" si="5"/>
        <v>143556.52301779226</v>
      </c>
      <c r="S57" s="151">
        <f t="shared" si="5"/>
        <v>147054.00892850364</v>
      </c>
      <c r="T57" s="151">
        <f t="shared" si="5"/>
        <v>150638.29932334006</v>
      </c>
      <c r="U57" s="151">
        <f t="shared" si="5"/>
        <v>154311.49171301172</v>
      </c>
      <c r="V57" s="151">
        <f t="shared" si="5"/>
        <v>158075.73540939623</v>
      </c>
      <c r="W57" s="151">
        <f t="shared" si="5"/>
        <v>161933.23277353161</v>
      </c>
      <c r="X57" s="151">
        <f t="shared" si="5"/>
        <v>165886.24049437759</v>
      </c>
      <c r="Y57" s="151">
        <f t="shared" si="5"/>
        <v>0</v>
      </c>
      <c r="Z57" s="151">
        <f t="shared" si="5"/>
        <v>0</v>
      </c>
      <c r="AA57" s="151">
        <f t="shared" si="5"/>
        <v>0</v>
      </c>
      <c r="AB57" s="151">
        <f t="shared" si="5"/>
        <v>0</v>
      </c>
      <c r="AC57" s="152">
        <f t="shared" si="5"/>
        <v>0</v>
      </c>
    </row>
    <row r="58" spans="1:29" ht="43.75" customHeight="1" x14ac:dyDescent="0.15">
      <c r="A58" s="77"/>
      <c r="B58" s="168" t="s">
        <v>80</v>
      </c>
      <c r="C58" s="114"/>
      <c r="D58" s="169">
        <f>SUM(D57)</f>
        <v>-826400</v>
      </c>
      <c r="E58" s="169">
        <f>SUM($D$57:E57)</f>
        <v>-721278.86153912195</v>
      </c>
      <c r="F58" s="169">
        <f>SUM($D$57:F57)</f>
        <v>-613619.29768836114</v>
      </c>
      <c r="G58" s="169">
        <f>SUM($D$57:G57)</f>
        <v>-503357.57379846182</v>
      </c>
      <c r="H58" s="169">
        <f>SUM($D$57:H57)</f>
        <v>-390428.43031465798</v>
      </c>
      <c r="I58" s="169">
        <f>SUM($D$57:I57)</f>
        <v>-274765.04470569402</v>
      </c>
      <c r="J58" s="169">
        <f>SUM($D$57:J57)</f>
        <v>-156298.99248502895</v>
      </c>
      <c r="K58" s="169">
        <f>SUM($D$57:K57)</f>
        <v>-34960.207301602524</v>
      </c>
      <c r="L58" s="169">
        <f>SUM($D$57:L57)</f>
        <v>89323.059922996603</v>
      </c>
      <c r="M58" s="169">
        <f>SUM($D$57:M57)</f>
        <v>216624.28283467394</v>
      </c>
      <c r="N58" s="169">
        <f>SUM($D$57:N57)</f>
        <v>347018.70248856093</v>
      </c>
      <c r="O58" s="169">
        <f>SUM($D$57:O57)</f>
        <v>480583.37121719448</v>
      </c>
      <c r="P58" s="169">
        <f>SUM($D$57:P57)</f>
        <v>617397.19755059597</v>
      </c>
      <c r="Q58" s="169">
        <f>SUM($D$57:Q57)</f>
        <v>757540.99221431243</v>
      </c>
      <c r="R58" s="169">
        <f>SUM($D$57:R57)</f>
        <v>901097.51523210469</v>
      </c>
      <c r="S58" s="169">
        <f>SUM($D$57:S57)</f>
        <v>1048151.5241606083</v>
      </c>
      <c r="T58" s="169">
        <f>SUM($D$57:T57)</f>
        <v>1198789.8234839484</v>
      </c>
      <c r="U58" s="169">
        <f>SUM($D$57:U57)</f>
        <v>1353101.31519696</v>
      </c>
      <c r="V58" s="169">
        <f>SUM($D$57:V57)</f>
        <v>1511177.0506063562</v>
      </c>
      <c r="W58" s="169">
        <f>SUM($D$57:W57)</f>
        <v>1673110.2833798879</v>
      </c>
      <c r="X58" s="169">
        <f>SUM($D$57:X57)</f>
        <v>1838996.5238742656</v>
      </c>
      <c r="Y58" s="169">
        <f>SUM($D$57:Y57)</f>
        <v>1838996.5238742656</v>
      </c>
      <c r="Z58" s="169">
        <f>SUM($D$57:Z57)</f>
        <v>1838996.5238742656</v>
      </c>
      <c r="AA58" s="169">
        <f>SUM($D$57:AA57)</f>
        <v>1838996.5238742656</v>
      </c>
      <c r="AB58" s="169">
        <f>SUM($D$57:AB57)</f>
        <v>1838996.5238742656</v>
      </c>
      <c r="AC58" s="170">
        <f>SUM($D$57:AC57)</f>
        <v>1838996.5238742656</v>
      </c>
    </row>
    <row r="59" spans="1:29" ht="25.5" customHeight="1" x14ac:dyDescent="0.15">
      <c r="A59" s="77"/>
      <c r="B59" s="168" t="s">
        <v>144</v>
      </c>
      <c r="C59" s="255"/>
      <c r="D59" s="256">
        <f>SUM(D57:AC57)</f>
        <v>1838996.5238742656</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70"/>
    </row>
    <row r="60" spans="1:29" ht="24.5" customHeight="1" x14ac:dyDescent="0.15">
      <c r="A60" s="6"/>
      <c r="B60" s="7"/>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8"/>
    </row>
    <row r="61" spans="1:29" ht="24.5" customHeight="1" x14ac:dyDescent="0.15">
      <c r="A61" s="6"/>
      <c r="B61" s="74" t="s">
        <v>82</v>
      </c>
      <c r="C61" s="179"/>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1"/>
    </row>
    <row r="62" spans="1:29" ht="25.5" customHeight="1" x14ac:dyDescent="0.15">
      <c r="A62" s="77"/>
      <c r="B62" s="113" t="s">
        <v>65</v>
      </c>
      <c r="C62" s="114"/>
      <c r="D62" s="115">
        <v>0</v>
      </c>
      <c r="E62" s="115">
        <v>1</v>
      </c>
      <c r="F62" s="115">
        <v>2</v>
      </c>
      <c r="G62" s="115">
        <v>3</v>
      </c>
      <c r="H62" s="115">
        <v>4</v>
      </c>
      <c r="I62" s="115">
        <v>5</v>
      </c>
      <c r="J62" s="115">
        <v>6</v>
      </c>
      <c r="K62" s="115">
        <v>7</v>
      </c>
      <c r="L62" s="115">
        <v>8</v>
      </c>
      <c r="M62" s="115">
        <v>9</v>
      </c>
      <c r="N62" s="115">
        <v>10</v>
      </c>
      <c r="O62" s="115">
        <v>11</v>
      </c>
      <c r="P62" s="115">
        <v>12</v>
      </c>
      <c r="Q62" s="115">
        <v>13</v>
      </c>
      <c r="R62" s="115">
        <v>14</v>
      </c>
      <c r="S62" s="115">
        <v>15</v>
      </c>
      <c r="T62" s="115">
        <v>16</v>
      </c>
      <c r="U62" s="115">
        <v>17</v>
      </c>
      <c r="V62" s="115">
        <v>18</v>
      </c>
      <c r="W62" s="115">
        <v>19</v>
      </c>
      <c r="X62" s="115">
        <v>20</v>
      </c>
      <c r="Y62" s="115">
        <v>21</v>
      </c>
      <c r="Z62" s="115">
        <v>22</v>
      </c>
      <c r="AA62" s="115">
        <v>23</v>
      </c>
      <c r="AB62" s="115">
        <v>24</v>
      </c>
      <c r="AC62" s="116">
        <v>25</v>
      </c>
    </row>
    <row r="63" spans="1:29" ht="25.5" customHeight="1" x14ac:dyDescent="0.15">
      <c r="A63" s="77"/>
      <c r="B63" s="117" t="s">
        <v>66</v>
      </c>
      <c r="C63" s="118">
        <f>D36</f>
        <v>0.03</v>
      </c>
      <c r="D63" s="119"/>
      <c r="E63" s="120"/>
      <c r="F63" s="8"/>
      <c r="G63" s="8"/>
      <c r="H63" s="8"/>
      <c r="I63" s="8"/>
      <c r="J63" s="8"/>
      <c r="K63" s="8"/>
      <c r="L63" s="8"/>
      <c r="M63" s="8"/>
      <c r="N63" s="8"/>
      <c r="O63" s="8"/>
      <c r="P63" s="8"/>
      <c r="Q63" s="8"/>
      <c r="R63" s="8"/>
      <c r="S63" s="8"/>
      <c r="T63" s="8"/>
      <c r="U63" s="8"/>
      <c r="V63" s="8"/>
      <c r="W63" s="8"/>
      <c r="X63" s="8"/>
      <c r="Y63" s="8"/>
      <c r="Z63" s="8"/>
      <c r="AA63" s="8"/>
      <c r="AB63" s="8"/>
      <c r="AC63" s="121"/>
    </row>
    <row r="64" spans="1:29" ht="25.5" customHeight="1" x14ac:dyDescent="0.15">
      <c r="A64" s="77"/>
      <c r="B64" s="122" t="s">
        <v>67</v>
      </c>
      <c r="C64" s="123">
        <f>D33</f>
        <v>0.03</v>
      </c>
      <c r="D64" s="124"/>
      <c r="E64" s="125"/>
      <c r="F64" s="322"/>
      <c r="G64" s="323"/>
      <c r="H64" s="323"/>
      <c r="I64" s="323"/>
      <c r="J64" s="323"/>
      <c r="K64" s="323"/>
      <c r="L64" s="323"/>
      <c r="M64" s="323"/>
      <c r="N64" s="125"/>
      <c r="O64" s="125"/>
      <c r="P64" s="125"/>
      <c r="Q64" s="125"/>
      <c r="R64" s="125"/>
      <c r="S64" s="125"/>
      <c r="T64" s="125"/>
      <c r="U64" s="125"/>
      <c r="V64" s="125"/>
      <c r="W64" s="125"/>
      <c r="X64" s="125"/>
      <c r="Y64" s="125"/>
      <c r="Z64" s="125"/>
      <c r="AA64" s="125"/>
      <c r="AB64" s="125"/>
      <c r="AC64" s="127"/>
    </row>
    <row r="65" spans="1:29" ht="25.5" customHeight="1" x14ac:dyDescent="0.15">
      <c r="A65" s="77"/>
      <c r="B65" s="122" t="s">
        <v>68</v>
      </c>
      <c r="C65" s="123">
        <f>D34</f>
        <v>0.06</v>
      </c>
      <c r="D65" s="124"/>
      <c r="E65" s="125"/>
      <c r="F65" s="323"/>
      <c r="G65" s="323"/>
      <c r="H65" s="323"/>
      <c r="I65" s="323"/>
      <c r="J65" s="323"/>
      <c r="K65" s="323"/>
      <c r="L65" s="323"/>
      <c r="M65" s="323"/>
      <c r="N65" s="125"/>
      <c r="O65" s="125"/>
      <c r="P65" s="125"/>
      <c r="Q65" s="125"/>
      <c r="R65" s="125"/>
      <c r="S65" s="125"/>
      <c r="T65" s="125"/>
      <c r="U65" s="125"/>
      <c r="V65" s="125"/>
      <c r="W65" s="125"/>
      <c r="X65" s="125"/>
      <c r="Y65" s="125"/>
      <c r="Z65" s="125"/>
      <c r="AA65" s="125"/>
      <c r="AB65" s="125"/>
      <c r="AC65" s="127"/>
    </row>
    <row r="66" spans="1:29" ht="25.5" customHeight="1" x14ac:dyDescent="0.15">
      <c r="A66" s="77"/>
      <c r="B66" s="122" t="s">
        <v>69</v>
      </c>
      <c r="C66" s="128">
        <f>C44</f>
        <v>0.16800000000000001</v>
      </c>
      <c r="D66" s="124"/>
      <c r="E66" s="125"/>
      <c r="F66" s="323"/>
      <c r="G66" s="323"/>
      <c r="H66" s="323"/>
      <c r="I66" s="323"/>
      <c r="J66" s="323"/>
      <c r="K66" s="323"/>
      <c r="L66" s="323"/>
      <c r="M66" s="323"/>
      <c r="N66" s="125"/>
      <c r="O66" s="125"/>
      <c r="P66" s="125"/>
      <c r="Q66" s="125"/>
      <c r="R66" s="125"/>
      <c r="S66" s="125"/>
      <c r="T66" s="125"/>
      <c r="U66" s="125"/>
      <c r="V66" s="125"/>
      <c r="W66" s="125"/>
      <c r="X66" s="125"/>
      <c r="Y66" s="125"/>
      <c r="Z66" s="125"/>
      <c r="AA66" s="125"/>
      <c r="AB66" s="125"/>
      <c r="AC66" s="127"/>
    </row>
    <row r="67" spans="1:29" ht="25.5" customHeight="1" x14ac:dyDescent="0.15">
      <c r="A67" s="77"/>
      <c r="B67" s="257" t="s">
        <v>143</v>
      </c>
      <c r="C67" s="258">
        <f>C45</f>
        <v>0.04</v>
      </c>
      <c r="D67" s="124"/>
      <c r="E67" s="125"/>
      <c r="F67" s="9"/>
      <c r="G67" s="9"/>
      <c r="H67" s="9"/>
      <c r="I67" s="9"/>
      <c r="J67" s="9"/>
      <c r="K67" s="9"/>
      <c r="L67" s="9"/>
      <c r="M67" s="9"/>
      <c r="N67" s="9"/>
      <c r="O67" s="9"/>
      <c r="P67" s="9"/>
      <c r="Q67" s="9"/>
      <c r="R67" s="9"/>
      <c r="S67" s="9"/>
      <c r="T67" s="9"/>
      <c r="U67" s="9"/>
      <c r="V67" s="9"/>
      <c r="W67" s="9"/>
      <c r="X67" s="9"/>
      <c r="Y67" s="9"/>
      <c r="Z67" s="9"/>
      <c r="AA67" s="9"/>
      <c r="AB67" s="9"/>
      <c r="AC67" s="130"/>
    </row>
    <row r="68" spans="1:29" ht="25.5" customHeight="1" x14ac:dyDescent="0.15">
      <c r="A68" s="77"/>
      <c r="B68" s="122" t="s">
        <v>70</v>
      </c>
      <c r="C68" s="129">
        <f>D35</f>
        <v>20</v>
      </c>
      <c r="D68" s="124"/>
      <c r="E68" s="125"/>
      <c r="F68" s="9"/>
      <c r="G68" s="9"/>
      <c r="H68" s="9"/>
      <c r="I68" s="9"/>
      <c r="J68" s="9"/>
      <c r="K68" s="9"/>
      <c r="L68" s="9"/>
      <c r="M68" s="9"/>
      <c r="N68" s="9"/>
      <c r="O68" s="9"/>
      <c r="P68" s="9"/>
      <c r="Q68" s="9"/>
      <c r="R68" s="9"/>
      <c r="S68" s="9"/>
      <c r="T68" s="9"/>
      <c r="U68" s="9"/>
      <c r="V68" s="9"/>
      <c r="W68" s="9"/>
      <c r="X68" s="9"/>
      <c r="Y68" s="9"/>
      <c r="Z68" s="9"/>
      <c r="AA68" s="9"/>
      <c r="AB68" s="9"/>
      <c r="AC68" s="130"/>
    </row>
    <row r="69" spans="1:29" ht="25.5" customHeight="1" x14ac:dyDescent="0.15">
      <c r="A69" s="77"/>
      <c r="B69" s="131" t="s">
        <v>71</v>
      </c>
      <c r="C69" s="132"/>
      <c r="D69" s="133">
        <f t="shared" ref="D69:AC69" si="6">IF($C68&gt;=D62,1,0)</f>
        <v>1</v>
      </c>
      <c r="E69" s="134">
        <f t="shared" si="6"/>
        <v>1</v>
      </c>
      <c r="F69" s="134">
        <f t="shared" si="6"/>
        <v>1</v>
      </c>
      <c r="G69" s="134">
        <f t="shared" si="6"/>
        <v>1</v>
      </c>
      <c r="H69" s="134">
        <f t="shared" si="6"/>
        <v>1</v>
      </c>
      <c r="I69" s="134">
        <f t="shared" si="6"/>
        <v>1</v>
      </c>
      <c r="J69" s="134">
        <f t="shared" si="6"/>
        <v>1</v>
      </c>
      <c r="K69" s="134">
        <f t="shared" si="6"/>
        <v>1</v>
      </c>
      <c r="L69" s="134">
        <f t="shared" si="6"/>
        <v>1</v>
      </c>
      <c r="M69" s="134">
        <f t="shared" si="6"/>
        <v>1</v>
      </c>
      <c r="N69" s="134">
        <f t="shared" si="6"/>
        <v>1</v>
      </c>
      <c r="O69" s="134">
        <f t="shared" si="6"/>
        <v>1</v>
      </c>
      <c r="P69" s="134">
        <f t="shared" si="6"/>
        <v>1</v>
      </c>
      <c r="Q69" s="134">
        <f t="shared" si="6"/>
        <v>1</v>
      </c>
      <c r="R69" s="134">
        <f t="shared" si="6"/>
        <v>1</v>
      </c>
      <c r="S69" s="134">
        <f t="shared" si="6"/>
        <v>1</v>
      </c>
      <c r="T69" s="134">
        <f t="shared" si="6"/>
        <v>1</v>
      </c>
      <c r="U69" s="134">
        <f t="shared" si="6"/>
        <v>1</v>
      </c>
      <c r="V69" s="134">
        <f t="shared" si="6"/>
        <v>1</v>
      </c>
      <c r="W69" s="134">
        <f t="shared" si="6"/>
        <v>1</v>
      </c>
      <c r="X69" s="134">
        <f t="shared" si="6"/>
        <v>1</v>
      </c>
      <c r="Y69" s="134">
        <f t="shared" si="6"/>
        <v>0</v>
      </c>
      <c r="Z69" s="134">
        <f t="shared" si="6"/>
        <v>0</v>
      </c>
      <c r="AA69" s="134">
        <f t="shared" si="6"/>
        <v>0</v>
      </c>
      <c r="AB69" s="134">
        <f t="shared" si="6"/>
        <v>0</v>
      </c>
      <c r="AC69" s="135">
        <f t="shared" si="6"/>
        <v>0</v>
      </c>
    </row>
    <row r="70" spans="1:29" ht="25.5" customHeight="1" x14ac:dyDescent="0.15">
      <c r="A70" s="77"/>
      <c r="B70" s="117" t="s">
        <v>83</v>
      </c>
      <c r="C70" s="183" t="s">
        <v>73</v>
      </c>
      <c r="D70" s="184"/>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6"/>
    </row>
    <row r="71" spans="1:29" ht="25.5" customHeight="1" x14ac:dyDescent="0.15">
      <c r="A71" s="77"/>
      <c r="B71" s="122" t="str">
        <f>$B49</f>
        <v>Investitionsauszahlung komplett</v>
      </c>
      <c r="C71" s="187">
        <f>D27</f>
        <v>991680</v>
      </c>
      <c r="D71" s="143">
        <f>-C71</f>
        <v>-991680</v>
      </c>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5"/>
    </row>
    <row r="72" spans="1:29" ht="25.5" customHeight="1" x14ac:dyDescent="0.15">
      <c r="A72" s="77"/>
      <c r="B72" s="122" t="str">
        <f>$B50</f>
        <v>Jahresbetriebskosten</v>
      </c>
      <c r="C72" s="188">
        <f>D29</f>
        <v>4554</v>
      </c>
      <c r="D72" s="143"/>
      <c r="E72" s="144">
        <f t="shared" ref="E72:AC72" si="7">-$C$72*(1+$C$65)^E62</f>
        <v>-4827.2400000000007</v>
      </c>
      <c r="F72" s="144">
        <f t="shared" si="7"/>
        <v>-5116.8744000000006</v>
      </c>
      <c r="G72" s="144">
        <f t="shared" si="7"/>
        <v>-5423.886864000001</v>
      </c>
      <c r="H72" s="144">
        <f t="shared" si="7"/>
        <v>-5749.3200758400017</v>
      </c>
      <c r="I72" s="144">
        <f t="shared" si="7"/>
        <v>-6094.2792803904022</v>
      </c>
      <c r="J72" s="144">
        <f t="shared" si="7"/>
        <v>-6459.9360372138262</v>
      </c>
      <c r="K72" s="144">
        <f t="shared" si="7"/>
        <v>-6847.5321994466576</v>
      </c>
      <c r="L72" s="144">
        <f t="shared" si="7"/>
        <v>-7258.3841314134561</v>
      </c>
      <c r="M72" s="144">
        <f t="shared" si="7"/>
        <v>-7693.8871792982636</v>
      </c>
      <c r="N72" s="144">
        <f t="shared" si="7"/>
        <v>-8155.5204100561596</v>
      </c>
      <c r="O72" s="144">
        <f t="shared" si="7"/>
        <v>-8644.8516346595316</v>
      </c>
      <c r="P72" s="144">
        <f t="shared" si="7"/>
        <v>-9163.5427327391026</v>
      </c>
      <c r="Q72" s="144">
        <f t="shared" si="7"/>
        <v>-9713.3552967034502</v>
      </c>
      <c r="R72" s="144">
        <f t="shared" si="7"/>
        <v>-10296.156614505657</v>
      </c>
      <c r="S72" s="144">
        <f t="shared" si="7"/>
        <v>-10913.926011375999</v>
      </c>
      <c r="T72" s="144">
        <f t="shared" si="7"/>
        <v>-11568.761572058556</v>
      </c>
      <c r="U72" s="144">
        <f t="shared" si="7"/>
        <v>-12262.887266382071</v>
      </c>
      <c r="V72" s="144">
        <f t="shared" si="7"/>
        <v>-12998.660502364995</v>
      </c>
      <c r="W72" s="144">
        <f t="shared" si="7"/>
        <v>-13778.580132506897</v>
      </c>
      <c r="X72" s="144">
        <f t="shared" si="7"/>
        <v>-14605.29494045731</v>
      </c>
      <c r="Y72" s="144">
        <f t="shared" si="7"/>
        <v>-15481.612636884751</v>
      </c>
      <c r="Z72" s="144">
        <f t="shared" si="7"/>
        <v>-16410.509395097837</v>
      </c>
      <c r="AA72" s="144">
        <f t="shared" si="7"/>
        <v>-17395.139958803709</v>
      </c>
      <c r="AB72" s="144">
        <f t="shared" si="7"/>
        <v>-18438.848356331931</v>
      </c>
      <c r="AC72" s="145">
        <f t="shared" si="7"/>
        <v>-19545.179257711847</v>
      </c>
    </row>
    <row r="73" spans="1:29" ht="25.5" customHeight="1" x14ac:dyDescent="0.15">
      <c r="A73" s="77"/>
      <c r="B73" s="259">
        <f>$B51</f>
        <v>0</v>
      </c>
      <c r="C73" s="189"/>
      <c r="D73" s="150">
        <f>-C73</f>
        <v>0</v>
      </c>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2"/>
    </row>
    <row r="74" spans="1:29" ht="25.5" customHeight="1" x14ac:dyDescent="0.15">
      <c r="A74" s="77"/>
      <c r="B74" s="117" t="s">
        <v>84</v>
      </c>
      <c r="C74" s="183" t="s">
        <v>73</v>
      </c>
      <c r="D74" s="164"/>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6"/>
    </row>
    <row r="75" spans="1:29" ht="25.5" customHeight="1" x14ac:dyDescent="0.15">
      <c r="A75" s="77"/>
      <c r="B75" s="122" t="str">
        <f>$B53</f>
        <v xml:space="preserve">Jährliche Energieeinsparung </v>
      </c>
      <c r="C75" s="190">
        <f>D31</f>
        <v>459608</v>
      </c>
      <c r="D75" s="143"/>
      <c r="E75" s="144">
        <f t="shared" ref="E75:AC75" si="8">$C75*(1-$L$12/100)^E62*$C66*(1+$C64)^E62</f>
        <v>79526.591791583996</v>
      </c>
      <c r="F75" s="144">
        <f t="shared" si="8"/>
        <v>81908.293925854246</v>
      </c>
      <c r="G75" s="144">
        <f t="shared" si="8"/>
        <v>84361.324466492704</v>
      </c>
      <c r="H75" s="144">
        <f t="shared" si="8"/>
        <v>86887.819592277447</v>
      </c>
      <c r="I75" s="144">
        <f t="shared" si="8"/>
        <v>89489.979457336754</v>
      </c>
      <c r="J75" s="144">
        <f t="shared" si="8"/>
        <v>92170.070107114821</v>
      </c>
      <c r="K75" s="144">
        <f t="shared" si="8"/>
        <v>94930.425451717776</v>
      </c>
      <c r="L75" s="144">
        <f t="shared" si="8"/>
        <v>97773.449298358522</v>
      </c>
      <c r="M75" s="144">
        <f t="shared" si="8"/>
        <v>100701.61744467042</v>
      </c>
      <c r="N75" s="144">
        <f t="shared" si="8"/>
        <v>103717.47983471211</v>
      </c>
      <c r="O75" s="144">
        <f t="shared" si="8"/>
        <v>106823.66277954201</v>
      </c>
      <c r="P75" s="144">
        <f t="shared" si="8"/>
        <v>110022.87124429509</v>
      </c>
      <c r="Q75" s="144">
        <f t="shared" si="8"/>
        <v>113317.89120375486</v>
      </c>
      <c r="R75" s="144">
        <f t="shared" si="8"/>
        <v>116711.59206847053</v>
      </c>
      <c r="S75" s="144">
        <f t="shared" si="8"/>
        <v>120206.92918353314</v>
      </c>
      <c r="T75" s="144">
        <f t="shared" si="8"/>
        <v>123806.94640218615</v>
      </c>
      <c r="U75" s="144">
        <f t="shared" si="8"/>
        <v>127514.77873651203</v>
      </c>
      <c r="V75" s="144">
        <f t="shared" si="8"/>
        <v>131333.65508750244</v>
      </c>
      <c r="W75" s="144">
        <f t="shared" si="8"/>
        <v>135266.90105689049</v>
      </c>
      <c r="X75" s="144">
        <f t="shared" si="8"/>
        <v>139317.94184319282</v>
      </c>
      <c r="Y75" s="144">
        <f t="shared" si="8"/>
        <v>143490.30522448363</v>
      </c>
      <c r="Z75" s="144">
        <f t="shared" si="8"/>
        <v>147787.62463049911</v>
      </c>
      <c r="AA75" s="144">
        <f t="shared" si="8"/>
        <v>152213.64230674561</v>
      </c>
      <c r="AB75" s="144">
        <f t="shared" si="8"/>
        <v>156772.21257336915</v>
      </c>
      <c r="AC75" s="145">
        <f t="shared" si="8"/>
        <v>161467.30518162271</v>
      </c>
    </row>
    <row r="76" spans="1:29" ht="25.5" customHeight="1" x14ac:dyDescent="0.15">
      <c r="A76" s="77"/>
      <c r="B76" s="122" t="str">
        <f>$B54</f>
        <v xml:space="preserve">Jährliche Energieeinspeisung </v>
      </c>
      <c r="C76" s="188">
        <f>D32</f>
        <v>196975</v>
      </c>
      <c r="D76" s="143"/>
      <c r="E76" s="144">
        <f t="shared" ref="E76:AC76" si="9">$C76*(1-$L$13/100)^E62*$C$67</f>
        <v>7878.6060500000003</v>
      </c>
      <c r="F76" s="144">
        <f t="shared" si="9"/>
        <v>7878.2121196975004</v>
      </c>
      <c r="G76" s="144">
        <f t="shared" si="9"/>
        <v>7877.8182090915152</v>
      </c>
      <c r="H76" s="144">
        <f t="shared" si="9"/>
        <v>7877.4243181810607</v>
      </c>
      <c r="I76" s="144">
        <f t="shared" si="9"/>
        <v>7877.030446965151</v>
      </c>
      <c r="J76" s="144">
        <f t="shared" si="9"/>
        <v>7876.6365954428029</v>
      </c>
      <c r="K76" s="144">
        <f t="shared" si="9"/>
        <v>7876.2427636130305</v>
      </c>
      <c r="L76" s="144">
        <f t="shared" si="9"/>
        <v>7875.8489514748508</v>
      </c>
      <c r="M76" s="144">
        <f t="shared" si="9"/>
        <v>7875.4551590272777</v>
      </c>
      <c r="N76" s="144">
        <f t="shared" si="9"/>
        <v>7875.0613862693253</v>
      </c>
      <c r="O76" s="144">
        <f t="shared" si="9"/>
        <v>7874.6676332000125</v>
      </c>
      <c r="P76" s="144">
        <f t="shared" si="9"/>
        <v>7874.2738998183513</v>
      </c>
      <c r="Q76" s="144">
        <f t="shared" si="9"/>
        <v>7873.8801861233615</v>
      </c>
      <c r="R76" s="144">
        <f t="shared" si="9"/>
        <v>7873.4864921140543</v>
      </c>
      <c r="S76" s="144">
        <f t="shared" si="9"/>
        <v>7873.0928177894493</v>
      </c>
      <c r="T76" s="144">
        <f t="shared" si="9"/>
        <v>7872.6991631485589</v>
      </c>
      <c r="U76" s="144">
        <f t="shared" si="9"/>
        <v>7872.3055281904026</v>
      </c>
      <c r="V76" s="144">
        <f t="shared" si="9"/>
        <v>7871.9119129139935</v>
      </c>
      <c r="W76" s="144">
        <f t="shared" si="9"/>
        <v>7871.5183173183468</v>
      </c>
      <c r="X76" s="144">
        <f t="shared" si="9"/>
        <v>7871.124741402482</v>
      </c>
      <c r="Y76" s="144">
        <f t="shared" si="9"/>
        <v>7870.7311851654113</v>
      </c>
      <c r="Z76" s="144">
        <f t="shared" si="9"/>
        <v>7870.3376486061525</v>
      </c>
      <c r="AA76" s="144">
        <f t="shared" si="9"/>
        <v>7869.9441317237224</v>
      </c>
      <c r="AB76" s="144">
        <f t="shared" si="9"/>
        <v>7869.550634517137</v>
      </c>
      <c r="AC76" s="145">
        <f t="shared" si="9"/>
        <v>7869.1571569854104</v>
      </c>
    </row>
    <row r="77" spans="1:29" ht="25.5" customHeight="1" x14ac:dyDescent="0.15">
      <c r="A77" s="77"/>
      <c r="B77" s="259">
        <f>$B55</f>
        <v>0</v>
      </c>
      <c r="C77" s="189"/>
      <c r="D77" s="150">
        <f>C77</f>
        <v>0</v>
      </c>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2"/>
    </row>
    <row r="78" spans="1:29" ht="25.5" customHeight="1" x14ac:dyDescent="0.15">
      <c r="A78" s="77"/>
      <c r="B78" s="117" t="s">
        <v>78</v>
      </c>
      <c r="C78" s="163"/>
      <c r="D78" s="164">
        <f t="shared" ref="D78:AC78" si="10">(SUM(D71:D73)+SUM(D75:D77))*D69</f>
        <v>-991680</v>
      </c>
      <c r="E78" s="165">
        <f t="shared" si="10"/>
        <v>82577.957841583993</v>
      </c>
      <c r="F78" s="165">
        <f t="shared" si="10"/>
        <v>84669.631645551752</v>
      </c>
      <c r="G78" s="165">
        <f t="shared" si="10"/>
        <v>86815.255811584226</v>
      </c>
      <c r="H78" s="165">
        <f t="shared" si="10"/>
        <v>89015.923834618501</v>
      </c>
      <c r="I78" s="165">
        <f t="shared" si="10"/>
        <v>91272.730623911499</v>
      </c>
      <c r="J78" s="165">
        <f t="shared" si="10"/>
        <v>93586.770665343793</v>
      </c>
      <c r="K78" s="165">
        <f t="shared" si="10"/>
        <v>95959.136015884142</v>
      </c>
      <c r="L78" s="165">
        <f t="shared" si="10"/>
        <v>98390.914118419911</v>
      </c>
      <c r="M78" s="165">
        <f t="shared" si="10"/>
        <v>100883.18542439943</v>
      </c>
      <c r="N78" s="165">
        <f t="shared" si="10"/>
        <v>103437.02081092529</v>
      </c>
      <c r="O78" s="165">
        <f t="shared" si="10"/>
        <v>106053.47877808248</v>
      </c>
      <c r="P78" s="165">
        <f t="shared" si="10"/>
        <v>108733.60241137433</v>
      </c>
      <c r="Q78" s="165">
        <f t="shared" si="10"/>
        <v>111478.41609317478</v>
      </c>
      <c r="R78" s="165">
        <f t="shared" si="10"/>
        <v>114288.92194607893</v>
      </c>
      <c r="S78" s="165">
        <f t="shared" si="10"/>
        <v>117166.0959899466</v>
      </c>
      <c r="T78" s="165">
        <f t="shared" si="10"/>
        <v>120110.88399327615</v>
      </c>
      <c r="U78" s="165">
        <f t="shared" si="10"/>
        <v>123124.19699832036</v>
      </c>
      <c r="V78" s="165">
        <f t="shared" si="10"/>
        <v>126206.90649805144</v>
      </c>
      <c r="W78" s="165">
        <f t="shared" si="10"/>
        <v>129359.83924170193</v>
      </c>
      <c r="X78" s="165">
        <f t="shared" si="10"/>
        <v>132583.771644138</v>
      </c>
      <c r="Y78" s="165">
        <f t="shared" si="10"/>
        <v>0</v>
      </c>
      <c r="Z78" s="165">
        <f t="shared" si="10"/>
        <v>0</v>
      </c>
      <c r="AA78" s="165">
        <f t="shared" si="10"/>
        <v>0</v>
      </c>
      <c r="AB78" s="165">
        <f t="shared" si="10"/>
        <v>0</v>
      </c>
      <c r="AC78" s="166">
        <f t="shared" si="10"/>
        <v>0</v>
      </c>
    </row>
    <row r="79" spans="1:29" ht="25.5" customHeight="1" x14ac:dyDescent="0.15">
      <c r="A79" s="77"/>
      <c r="B79" s="131" t="s">
        <v>79</v>
      </c>
      <c r="C79" s="167"/>
      <c r="D79" s="150">
        <f t="shared" ref="D79:AC79" si="11">(D78)/(1+$C$63)^D62</f>
        <v>-991680</v>
      </c>
      <c r="E79" s="151">
        <f t="shared" si="11"/>
        <v>80172.7746034796</v>
      </c>
      <c r="F79" s="151">
        <f t="shared" si="11"/>
        <v>79809.248416958959</v>
      </c>
      <c r="G79" s="151">
        <f t="shared" si="11"/>
        <v>79448.257260582221</v>
      </c>
      <c r="H79" s="151">
        <f t="shared" si="11"/>
        <v>79089.495385308008</v>
      </c>
      <c r="I79" s="151">
        <f t="shared" si="11"/>
        <v>78732.659210915561</v>
      </c>
      <c r="J79" s="151">
        <f t="shared" si="11"/>
        <v>78377.44706608908</v>
      </c>
      <c r="K79" s="151">
        <f t="shared" si="11"/>
        <v>78023.558930357685</v>
      </c>
      <c r="L79" s="151">
        <f t="shared" si="11"/>
        <v>77670.696177670077</v>
      </c>
      <c r="M79" s="151">
        <f t="shared" si="11"/>
        <v>77318.561321384419</v>
      </c>
      <c r="N79" s="151">
        <f t="shared" si="11"/>
        <v>76966.85776045543</v>
      </c>
      <c r="O79" s="151">
        <f t="shared" si="11"/>
        <v>76615.289526602093</v>
      </c>
      <c r="P79" s="151">
        <f t="shared" si="11"/>
        <v>76263.561032240119</v>
      </c>
      <c r="Q79" s="151">
        <f t="shared" si="11"/>
        <v>75911.376818964418</v>
      </c>
      <c r="R79" s="151">
        <f t="shared" si="11"/>
        <v>75558.441306367138</v>
      </c>
      <c r="S79" s="151">
        <f t="shared" si="11"/>
        <v>75204.458540977881</v>
      </c>
      <c r="T79" s="151">
        <f t="shared" si="11"/>
        <v>74849.131945112124</v>
      </c>
      <c r="U79" s="151">
        <f t="shared" si="11"/>
        <v>74492.164065415229</v>
      </c>
      <c r="V79" s="151">
        <f t="shared" si="11"/>
        <v>74133.256320887813</v>
      </c>
      <c r="W79" s="151">
        <f t="shared" si="11"/>
        <v>73772.108750179541</v>
      </c>
      <c r="X79" s="151">
        <f t="shared" si="11"/>
        <v>73408.419757936921</v>
      </c>
      <c r="Y79" s="151">
        <f t="shared" si="11"/>
        <v>0</v>
      </c>
      <c r="Z79" s="151">
        <f t="shared" si="11"/>
        <v>0</v>
      </c>
      <c r="AA79" s="151">
        <f t="shared" si="11"/>
        <v>0</v>
      </c>
      <c r="AB79" s="151">
        <f t="shared" si="11"/>
        <v>0</v>
      </c>
      <c r="AC79" s="152">
        <f t="shared" si="11"/>
        <v>0</v>
      </c>
    </row>
    <row r="80" spans="1:29" ht="25.5" customHeight="1" x14ac:dyDescent="0.15">
      <c r="A80" s="77"/>
      <c r="B80" s="168" t="s">
        <v>144</v>
      </c>
      <c r="C80" s="255"/>
      <c r="D80" s="256">
        <f>SUM(D79:AC79)</f>
        <v>544137.76419788424</v>
      </c>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70"/>
    </row>
    <row r="81" spans="1:29" ht="24.5" customHeight="1" x14ac:dyDescent="0.15">
      <c r="A81" s="6"/>
      <c r="B81" s="7"/>
      <c r="C81" s="176"/>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8"/>
    </row>
    <row r="82" spans="1:29" ht="24.5" customHeight="1" x14ac:dyDescent="0.15">
      <c r="A82" s="6"/>
      <c r="B82" s="74" t="s">
        <v>85</v>
      </c>
      <c r="C82" s="179"/>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1"/>
    </row>
    <row r="83" spans="1:29" ht="25.5" customHeight="1" x14ac:dyDescent="0.15">
      <c r="A83" s="77"/>
      <c r="B83" s="113" t="s">
        <v>65</v>
      </c>
      <c r="C83" s="114"/>
      <c r="D83" s="115">
        <v>0</v>
      </c>
      <c r="E83" s="115">
        <v>1</v>
      </c>
      <c r="F83" s="115">
        <v>2</v>
      </c>
      <c r="G83" s="115">
        <v>3</v>
      </c>
      <c r="H83" s="115">
        <v>4</v>
      </c>
      <c r="I83" s="115">
        <v>5</v>
      </c>
      <c r="J83" s="115">
        <v>6</v>
      </c>
      <c r="K83" s="115">
        <v>7</v>
      </c>
      <c r="L83" s="115">
        <v>8</v>
      </c>
      <c r="M83" s="115">
        <v>9</v>
      </c>
      <c r="N83" s="115">
        <v>10</v>
      </c>
      <c r="O83" s="115">
        <v>11</v>
      </c>
      <c r="P83" s="115">
        <v>12</v>
      </c>
      <c r="Q83" s="115">
        <v>13</v>
      </c>
      <c r="R83" s="115">
        <v>14</v>
      </c>
      <c r="S83" s="115">
        <v>15</v>
      </c>
      <c r="T83" s="115">
        <v>16</v>
      </c>
      <c r="U83" s="115">
        <v>17</v>
      </c>
      <c r="V83" s="115">
        <v>18</v>
      </c>
      <c r="W83" s="115">
        <v>19</v>
      </c>
      <c r="X83" s="115">
        <v>20</v>
      </c>
      <c r="Y83" s="115">
        <v>21</v>
      </c>
      <c r="Z83" s="115">
        <v>22</v>
      </c>
      <c r="AA83" s="115">
        <v>23</v>
      </c>
      <c r="AB83" s="115">
        <v>24</v>
      </c>
      <c r="AC83" s="116">
        <v>25</v>
      </c>
    </row>
    <row r="84" spans="1:29" ht="25.5" customHeight="1" x14ac:dyDescent="0.15">
      <c r="A84" s="77"/>
      <c r="B84" s="117" t="s">
        <v>66</v>
      </c>
      <c r="C84" s="118">
        <f>E36</f>
        <v>0.01</v>
      </c>
      <c r="D84" s="119"/>
      <c r="E84" s="120"/>
      <c r="F84" s="8"/>
      <c r="G84" s="8"/>
      <c r="H84" s="8"/>
      <c r="I84" s="8"/>
      <c r="J84" s="8"/>
      <c r="K84" s="8"/>
      <c r="L84" s="8"/>
      <c r="M84" s="8"/>
      <c r="N84" s="8"/>
      <c r="O84" s="8"/>
      <c r="P84" s="8"/>
      <c r="Q84" s="8"/>
      <c r="R84" s="8"/>
      <c r="S84" s="8"/>
      <c r="T84" s="8"/>
      <c r="U84" s="8"/>
      <c r="V84" s="8"/>
      <c r="W84" s="8"/>
      <c r="X84" s="8"/>
      <c r="Y84" s="8"/>
      <c r="Z84" s="8"/>
      <c r="AA84" s="8"/>
      <c r="AB84" s="8"/>
      <c r="AC84" s="121"/>
    </row>
    <row r="85" spans="1:29" ht="25.5" customHeight="1" x14ac:dyDescent="0.15">
      <c r="A85" s="77"/>
      <c r="B85" s="122" t="s">
        <v>67</v>
      </c>
      <c r="C85" s="123">
        <f>E33</f>
        <v>0.05</v>
      </c>
      <c r="D85" s="124"/>
      <c r="E85" s="125"/>
      <c r="F85" s="322"/>
      <c r="G85" s="323"/>
      <c r="H85" s="323"/>
      <c r="I85" s="323"/>
      <c r="J85" s="323"/>
      <c r="K85" s="323"/>
      <c r="L85" s="323"/>
      <c r="M85" s="323"/>
      <c r="N85" s="125"/>
      <c r="O85" s="125"/>
      <c r="P85" s="125"/>
      <c r="Q85" s="125"/>
      <c r="R85" s="125"/>
      <c r="S85" s="125"/>
      <c r="T85" s="125"/>
      <c r="U85" s="125"/>
      <c r="V85" s="125"/>
      <c r="W85" s="125"/>
      <c r="X85" s="125"/>
      <c r="Y85" s="125"/>
      <c r="Z85" s="125"/>
      <c r="AA85" s="125"/>
      <c r="AB85" s="125"/>
      <c r="AC85" s="127"/>
    </row>
    <row r="86" spans="1:29" ht="25.5" customHeight="1" x14ac:dyDescent="0.15">
      <c r="A86" s="77"/>
      <c r="B86" s="122" t="s">
        <v>68</v>
      </c>
      <c r="C86" s="123">
        <f>E34</f>
        <v>0.02</v>
      </c>
      <c r="D86" s="124"/>
      <c r="E86" s="125"/>
      <c r="F86" s="323"/>
      <c r="G86" s="323"/>
      <c r="H86" s="323"/>
      <c r="I86" s="323"/>
      <c r="J86" s="323"/>
      <c r="K86" s="323"/>
      <c r="L86" s="323"/>
      <c r="M86" s="323"/>
      <c r="N86" s="125"/>
      <c r="O86" s="125"/>
      <c r="P86" s="125"/>
      <c r="Q86" s="125"/>
      <c r="R86" s="125"/>
      <c r="S86" s="125"/>
      <c r="T86" s="125"/>
      <c r="U86" s="125"/>
      <c r="V86" s="125"/>
      <c r="W86" s="125"/>
      <c r="X86" s="125"/>
      <c r="Y86" s="125"/>
      <c r="Z86" s="125"/>
      <c r="AA86" s="125"/>
      <c r="AB86" s="125"/>
      <c r="AC86" s="127"/>
    </row>
    <row r="87" spans="1:29" ht="25.5" customHeight="1" x14ac:dyDescent="0.15">
      <c r="A87" s="77"/>
      <c r="B87" s="122" t="s">
        <v>69</v>
      </c>
      <c r="C87" s="128">
        <f>C66</f>
        <v>0.16800000000000001</v>
      </c>
      <c r="D87" s="124"/>
      <c r="E87" s="125"/>
      <c r="F87" s="323"/>
      <c r="G87" s="323"/>
      <c r="H87" s="323"/>
      <c r="I87" s="323"/>
      <c r="J87" s="323"/>
      <c r="K87" s="323"/>
      <c r="L87" s="323"/>
      <c r="M87" s="323"/>
      <c r="N87" s="125"/>
      <c r="O87" s="125"/>
      <c r="P87" s="125"/>
      <c r="Q87" s="125"/>
      <c r="R87" s="125"/>
      <c r="S87" s="125"/>
      <c r="T87" s="125"/>
      <c r="U87" s="125"/>
      <c r="V87" s="125"/>
      <c r="W87" s="125"/>
      <c r="X87" s="125"/>
      <c r="Y87" s="125"/>
      <c r="Z87" s="125"/>
      <c r="AA87" s="125"/>
      <c r="AB87" s="125"/>
      <c r="AC87" s="127"/>
    </row>
    <row r="88" spans="1:29" ht="25.5" customHeight="1" x14ac:dyDescent="0.15">
      <c r="A88" s="77"/>
      <c r="B88" s="257" t="s">
        <v>143</v>
      </c>
      <c r="C88" s="258">
        <f>C67</f>
        <v>0.04</v>
      </c>
      <c r="D88" s="124"/>
      <c r="E88" s="125"/>
      <c r="F88" s="9"/>
      <c r="G88" s="9"/>
      <c r="H88" s="9"/>
      <c r="I88" s="9"/>
      <c r="J88" s="9"/>
      <c r="K88" s="9"/>
      <c r="L88" s="9"/>
      <c r="M88" s="9"/>
      <c r="N88" s="9"/>
      <c r="O88" s="9"/>
      <c r="P88" s="9"/>
      <c r="Q88" s="9"/>
      <c r="R88" s="9"/>
      <c r="S88" s="9"/>
      <c r="T88" s="9"/>
      <c r="U88" s="9"/>
      <c r="V88" s="9"/>
      <c r="W88" s="9"/>
      <c r="X88" s="9"/>
      <c r="Y88" s="9"/>
      <c r="Z88" s="9"/>
      <c r="AA88" s="9"/>
      <c r="AB88" s="9"/>
      <c r="AC88" s="130"/>
    </row>
    <row r="89" spans="1:29" ht="25.5" customHeight="1" x14ac:dyDescent="0.15">
      <c r="A89" s="77"/>
      <c r="B89" s="122" t="s">
        <v>70</v>
      </c>
      <c r="C89" s="129">
        <f>E35</f>
        <v>25</v>
      </c>
      <c r="D89" s="124"/>
      <c r="E89" s="125"/>
      <c r="F89" s="9"/>
      <c r="G89" s="9"/>
      <c r="H89" s="9"/>
      <c r="I89" s="9"/>
      <c r="J89" s="9"/>
      <c r="K89" s="9"/>
      <c r="L89" s="9"/>
      <c r="M89" s="9"/>
      <c r="N89" s="9"/>
      <c r="O89" s="9"/>
      <c r="P89" s="9"/>
      <c r="Q89" s="9"/>
      <c r="R89" s="9"/>
      <c r="S89" s="9"/>
      <c r="T89" s="9"/>
      <c r="U89" s="9"/>
      <c r="V89" s="9"/>
      <c r="W89" s="9"/>
      <c r="X89" s="9"/>
      <c r="Y89" s="9"/>
      <c r="Z89" s="9"/>
      <c r="AA89" s="9"/>
      <c r="AB89" s="9"/>
      <c r="AC89" s="130"/>
    </row>
    <row r="90" spans="1:29" ht="25.5" customHeight="1" x14ac:dyDescent="0.15">
      <c r="A90" s="77"/>
      <c r="B90" s="131" t="s">
        <v>71</v>
      </c>
      <c r="C90" s="132"/>
      <c r="D90" s="133">
        <f>IF(C89&gt;=D83,1,0)</f>
        <v>1</v>
      </c>
      <c r="E90" s="134">
        <f t="shared" ref="E90:AC90" si="12">IF($C89&gt;=E83,1,0)</f>
        <v>1</v>
      </c>
      <c r="F90" s="134">
        <f t="shared" si="12"/>
        <v>1</v>
      </c>
      <c r="G90" s="134">
        <f t="shared" si="12"/>
        <v>1</v>
      </c>
      <c r="H90" s="134">
        <f t="shared" si="12"/>
        <v>1</v>
      </c>
      <c r="I90" s="134">
        <f t="shared" si="12"/>
        <v>1</v>
      </c>
      <c r="J90" s="134">
        <f t="shared" si="12"/>
        <v>1</v>
      </c>
      <c r="K90" s="134">
        <f t="shared" si="12"/>
        <v>1</v>
      </c>
      <c r="L90" s="134">
        <f t="shared" si="12"/>
        <v>1</v>
      </c>
      <c r="M90" s="134">
        <f t="shared" si="12"/>
        <v>1</v>
      </c>
      <c r="N90" s="134">
        <f t="shared" si="12"/>
        <v>1</v>
      </c>
      <c r="O90" s="134">
        <f t="shared" si="12"/>
        <v>1</v>
      </c>
      <c r="P90" s="134">
        <f t="shared" si="12"/>
        <v>1</v>
      </c>
      <c r="Q90" s="134">
        <f t="shared" si="12"/>
        <v>1</v>
      </c>
      <c r="R90" s="134">
        <f t="shared" si="12"/>
        <v>1</v>
      </c>
      <c r="S90" s="134">
        <f t="shared" si="12"/>
        <v>1</v>
      </c>
      <c r="T90" s="134">
        <f t="shared" si="12"/>
        <v>1</v>
      </c>
      <c r="U90" s="134">
        <f t="shared" si="12"/>
        <v>1</v>
      </c>
      <c r="V90" s="134">
        <f t="shared" si="12"/>
        <v>1</v>
      </c>
      <c r="W90" s="134">
        <f t="shared" si="12"/>
        <v>1</v>
      </c>
      <c r="X90" s="134">
        <f t="shared" si="12"/>
        <v>1</v>
      </c>
      <c r="Y90" s="134">
        <f t="shared" si="12"/>
        <v>1</v>
      </c>
      <c r="Z90" s="134">
        <f t="shared" si="12"/>
        <v>1</v>
      </c>
      <c r="AA90" s="134">
        <f t="shared" si="12"/>
        <v>1</v>
      </c>
      <c r="AB90" s="134">
        <f t="shared" si="12"/>
        <v>1</v>
      </c>
      <c r="AC90" s="135">
        <f t="shared" si="12"/>
        <v>1</v>
      </c>
    </row>
    <row r="91" spans="1:29" ht="25.5" customHeight="1" x14ac:dyDescent="0.15">
      <c r="A91" s="77"/>
      <c r="B91" s="117" t="s">
        <v>83</v>
      </c>
      <c r="C91" s="183" t="s">
        <v>73</v>
      </c>
      <c r="D91" s="184"/>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6"/>
    </row>
    <row r="92" spans="1:29" ht="25.5" customHeight="1" x14ac:dyDescent="0.15">
      <c r="A92" s="77"/>
      <c r="B92" s="122" t="str">
        <f>$B71</f>
        <v>Investitionsauszahlung komplett</v>
      </c>
      <c r="C92" s="193">
        <f>E27</f>
        <v>661120</v>
      </c>
      <c r="D92" s="143">
        <f>-C92</f>
        <v>-661120</v>
      </c>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5"/>
    </row>
    <row r="93" spans="1:29" ht="25.5" customHeight="1" x14ac:dyDescent="0.15">
      <c r="A93" s="77"/>
      <c r="B93" s="122" t="str">
        <f>$B72</f>
        <v>Jahresbetriebskosten</v>
      </c>
      <c r="C93" s="142">
        <f>E29</f>
        <v>3036</v>
      </c>
      <c r="D93" s="143"/>
      <c r="E93" s="144">
        <f t="shared" ref="E93:AC93" si="13">-$C$93*(1+$C$86)^E83</f>
        <v>-3096.7200000000003</v>
      </c>
      <c r="F93" s="144">
        <f t="shared" si="13"/>
        <v>-3158.6543999999999</v>
      </c>
      <c r="G93" s="144">
        <f t="shared" si="13"/>
        <v>-3221.8274879999999</v>
      </c>
      <c r="H93" s="144">
        <f t="shared" si="13"/>
        <v>-3286.2640377600001</v>
      </c>
      <c r="I93" s="144">
        <f t="shared" si="13"/>
        <v>-3351.9893185152</v>
      </c>
      <c r="J93" s="144">
        <f t="shared" si="13"/>
        <v>-3419.0291048855042</v>
      </c>
      <c r="K93" s="144">
        <f t="shared" si="13"/>
        <v>-3487.4096869832133</v>
      </c>
      <c r="L93" s="144">
        <f t="shared" si="13"/>
        <v>-3557.157880722878</v>
      </c>
      <c r="M93" s="144">
        <f t="shared" si="13"/>
        <v>-3628.3010383373357</v>
      </c>
      <c r="N93" s="144">
        <f t="shared" si="13"/>
        <v>-3700.8670591040827</v>
      </c>
      <c r="O93" s="144">
        <f t="shared" si="13"/>
        <v>-3774.8844002861633</v>
      </c>
      <c r="P93" s="144">
        <f t="shared" si="13"/>
        <v>-3850.3820882918876</v>
      </c>
      <c r="Q93" s="144">
        <f t="shared" si="13"/>
        <v>-3927.389730057725</v>
      </c>
      <c r="R93" s="144">
        <f t="shared" si="13"/>
        <v>-4005.9375246588797</v>
      </c>
      <c r="S93" s="144">
        <f t="shared" si="13"/>
        <v>-4086.0562751520565</v>
      </c>
      <c r="T93" s="144">
        <f t="shared" si="13"/>
        <v>-4167.7774006550981</v>
      </c>
      <c r="U93" s="144">
        <f t="shared" si="13"/>
        <v>-4251.1329486682007</v>
      </c>
      <c r="V93" s="144">
        <f t="shared" si="13"/>
        <v>-4336.1556076415636</v>
      </c>
      <c r="W93" s="144">
        <f t="shared" si="13"/>
        <v>-4422.8787197943948</v>
      </c>
      <c r="X93" s="144">
        <f t="shared" si="13"/>
        <v>-4511.3362941902833</v>
      </c>
      <c r="Y93" s="144">
        <f t="shared" si="13"/>
        <v>-4601.5630200740889</v>
      </c>
      <c r="Z93" s="144">
        <f t="shared" si="13"/>
        <v>-4693.5942804755705</v>
      </c>
      <c r="AA93" s="144">
        <f t="shared" si="13"/>
        <v>-4787.4661660850816</v>
      </c>
      <c r="AB93" s="144">
        <f t="shared" si="13"/>
        <v>-4883.2154894067835</v>
      </c>
      <c r="AC93" s="145">
        <f t="shared" si="13"/>
        <v>-4980.8797991949186</v>
      </c>
    </row>
    <row r="94" spans="1:29" ht="25.5" customHeight="1" x14ac:dyDescent="0.15">
      <c r="A94" s="77"/>
      <c r="B94" s="259">
        <f>$B73</f>
        <v>0</v>
      </c>
      <c r="C94" s="194"/>
      <c r="D94" s="150">
        <f>-C94</f>
        <v>0</v>
      </c>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2"/>
    </row>
    <row r="95" spans="1:29" ht="25.5" customHeight="1" x14ac:dyDescent="0.15">
      <c r="A95" s="77"/>
      <c r="B95" s="117" t="s">
        <v>84</v>
      </c>
      <c r="C95" s="183" t="s">
        <v>73</v>
      </c>
      <c r="D95" s="164"/>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6"/>
    </row>
    <row r="96" spans="1:29" ht="25.5" customHeight="1" x14ac:dyDescent="0.15">
      <c r="A96" s="77"/>
      <c r="B96" s="122" t="str">
        <f>$B75</f>
        <v xml:space="preserve">Jährliche Energieeinsparung </v>
      </c>
      <c r="C96" s="190">
        <f>E31</f>
        <v>543451</v>
      </c>
      <c r="D96" s="143"/>
      <c r="E96" s="144">
        <f t="shared" ref="E96:AC96" si="14">$C96*(1-$L$12/100)^E83*$C87*(1+$C85)^E83</f>
        <v>95859.963162180007</v>
      </c>
      <c r="F96" s="144">
        <f t="shared" si="14"/>
        <v>100647.928672223</v>
      </c>
      <c r="G96" s="144">
        <f t="shared" si="14"/>
        <v>105675.04108957887</v>
      </c>
      <c r="H96" s="144">
        <f t="shared" si="14"/>
        <v>110953.24520440061</v>
      </c>
      <c r="I96" s="144">
        <f t="shared" si="14"/>
        <v>116495.08241924738</v>
      </c>
      <c r="J96" s="144">
        <f t="shared" si="14"/>
        <v>122313.72054838274</v>
      </c>
      <c r="K96" s="144">
        <f t="shared" si="14"/>
        <v>128422.98510547311</v>
      </c>
      <c r="L96" s="144">
        <f t="shared" si="14"/>
        <v>134837.39215402873</v>
      </c>
      <c r="M96" s="144">
        <f t="shared" si="14"/>
        <v>141572.18279864208</v>
      </c>
      <c r="N96" s="144">
        <f t="shared" si="14"/>
        <v>148643.35939897725</v>
      </c>
      <c r="O96" s="144">
        <f t="shared" si="14"/>
        <v>156067.72359255765</v>
      </c>
      <c r="P96" s="144">
        <f t="shared" si="14"/>
        <v>163862.9162166969</v>
      </c>
      <c r="Q96" s="144">
        <f t="shared" si="14"/>
        <v>172047.45922443041</v>
      </c>
      <c r="R96" s="144">
        <f t="shared" si="14"/>
        <v>180640.79969404259</v>
      </c>
      <c r="S96" s="144">
        <f t="shared" si="14"/>
        <v>189663.3560367609</v>
      </c>
      <c r="T96" s="144">
        <f t="shared" si="14"/>
        <v>199136.56651240698</v>
      </c>
      <c r="U96" s="144">
        <f t="shared" si="14"/>
        <v>209082.94016828542</v>
      </c>
      <c r="V96" s="144">
        <f t="shared" si="14"/>
        <v>219526.11032234089</v>
      </c>
      <c r="W96" s="144">
        <f t="shared" si="14"/>
        <v>230490.89071766596</v>
      </c>
      <c r="X96" s="144">
        <f t="shared" si="14"/>
        <v>242003.33448178665</v>
      </c>
      <c r="Y96" s="144">
        <f t="shared" si="14"/>
        <v>254090.7960308156</v>
      </c>
      <c r="Z96" s="144">
        <f t="shared" si="14"/>
        <v>266781.99606556474</v>
      </c>
      <c r="AA96" s="144">
        <f t="shared" si="14"/>
        <v>280107.08981404966</v>
      </c>
      <c r="AB96" s="144">
        <f t="shared" si="14"/>
        <v>294097.73868253682</v>
      </c>
      <c r="AC96" s="145">
        <f t="shared" si="14"/>
        <v>308787.18548538291</v>
      </c>
    </row>
    <row r="97" spans="1:29" ht="25.5" customHeight="1" x14ac:dyDescent="0.15">
      <c r="A97" s="77"/>
      <c r="B97" s="122" t="str">
        <f>$B76</f>
        <v xml:space="preserve">Jährliche Energieeinspeisung </v>
      </c>
      <c r="C97" s="188">
        <f>E32</f>
        <v>13132</v>
      </c>
      <c r="D97" s="143"/>
      <c r="E97" s="144">
        <f t="shared" ref="E97:AC97" si="15">$C97*(1-$L$13/100)^E83*$C$88</f>
        <v>525.253736</v>
      </c>
      <c r="F97" s="144">
        <f t="shared" si="15"/>
        <v>525.22747331319999</v>
      </c>
      <c r="G97" s="144">
        <f t="shared" si="15"/>
        <v>525.20121193953435</v>
      </c>
      <c r="H97" s="144">
        <f t="shared" si="15"/>
        <v>525.17495187893735</v>
      </c>
      <c r="I97" s="144">
        <f t="shared" si="15"/>
        <v>525.14869313134341</v>
      </c>
      <c r="J97" s="144">
        <f t="shared" si="15"/>
        <v>525.12243569668681</v>
      </c>
      <c r="K97" s="144">
        <f t="shared" si="15"/>
        <v>525.09617957490195</v>
      </c>
      <c r="L97" s="144">
        <f t="shared" si="15"/>
        <v>525.06992476592325</v>
      </c>
      <c r="M97" s="144">
        <f t="shared" si="15"/>
        <v>525.04367126968498</v>
      </c>
      <c r="N97" s="144">
        <f t="shared" si="15"/>
        <v>525.01741908612144</v>
      </c>
      <c r="O97" s="144">
        <f t="shared" si="15"/>
        <v>524.99116821516725</v>
      </c>
      <c r="P97" s="144">
        <f t="shared" si="15"/>
        <v>524.96491865675648</v>
      </c>
      <c r="Q97" s="144">
        <f t="shared" si="15"/>
        <v>524.93867041082365</v>
      </c>
      <c r="R97" s="144">
        <f t="shared" si="15"/>
        <v>524.91242347730304</v>
      </c>
      <c r="S97" s="144">
        <f t="shared" si="15"/>
        <v>524.88617785612928</v>
      </c>
      <c r="T97" s="144">
        <f t="shared" si="15"/>
        <v>524.85993354723632</v>
      </c>
      <c r="U97" s="144">
        <f t="shared" si="15"/>
        <v>524.83369055055903</v>
      </c>
      <c r="V97" s="144">
        <f t="shared" si="15"/>
        <v>524.80744886603145</v>
      </c>
      <c r="W97" s="144">
        <f t="shared" si="15"/>
        <v>524.78120849358811</v>
      </c>
      <c r="X97" s="144">
        <f t="shared" si="15"/>
        <v>524.75496943316352</v>
      </c>
      <c r="Y97" s="144">
        <f t="shared" si="15"/>
        <v>524.72873168469187</v>
      </c>
      <c r="Z97" s="144">
        <f t="shared" si="15"/>
        <v>524.70249524810765</v>
      </c>
      <c r="AA97" s="144">
        <f t="shared" si="15"/>
        <v>524.67626012334517</v>
      </c>
      <c r="AB97" s="144">
        <f t="shared" si="15"/>
        <v>524.65002631033906</v>
      </c>
      <c r="AC97" s="145">
        <f t="shared" si="15"/>
        <v>524.6237938090236</v>
      </c>
    </row>
    <row r="98" spans="1:29" ht="25.5" customHeight="1" x14ac:dyDescent="0.15">
      <c r="A98" s="77"/>
      <c r="B98" s="259">
        <f>$B77</f>
        <v>0</v>
      </c>
      <c r="C98" s="194"/>
      <c r="D98" s="150">
        <f>C98</f>
        <v>0</v>
      </c>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2"/>
    </row>
    <row r="99" spans="1:29" ht="25.5" customHeight="1" x14ac:dyDescent="0.15">
      <c r="A99" s="77"/>
      <c r="B99" s="117" t="s">
        <v>78</v>
      </c>
      <c r="C99" s="163"/>
      <c r="D99" s="164">
        <f t="shared" ref="D99:AC99" si="16">(SUM(D92:D94)+SUM(D96:D98))*D90</f>
        <v>-661120</v>
      </c>
      <c r="E99" s="165">
        <f t="shared" si="16"/>
        <v>93288.496898180005</v>
      </c>
      <c r="F99" s="165">
        <f t="shared" si="16"/>
        <v>98014.50174553621</v>
      </c>
      <c r="G99" s="165">
        <f t="shared" si="16"/>
        <v>102978.41481351841</v>
      </c>
      <c r="H99" s="165">
        <f t="shared" si="16"/>
        <v>108192.15611851955</v>
      </c>
      <c r="I99" s="165">
        <f t="shared" si="16"/>
        <v>113668.24179386352</v>
      </c>
      <c r="J99" s="165">
        <f t="shared" si="16"/>
        <v>119419.81387919393</v>
      </c>
      <c r="K99" s="165">
        <f t="shared" si="16"/>
        <v>125460.6715980648</v>
      </c>
      <c r="L99" s="165">
        <f t="shared" si="16"/>
        <v>131805.3041980718</v>
      </c>
      <c r="M99" s="165">
        <f t="shared" si="16"/>
        <v>138468.92543157443</v>
      </c>
      <c r="N99" s="165">
        <f t="shared" si="16"/>
        <v>145467.50975895929</v>
      </c>
      <c r="O99" s="165">
        <f t="shared" si="16"/>
        <v>152817.83036048667</v>
      </c>
      <c r="P99" s="165">
        <f t="shared" si="16"/>
        <v>160537.49904706178</v>
      </c>
      <c r="Q99" s="165">
        <f t="shared" si="16"/>
        <v>168645.0081647835</v>
      </c>
      <c r="R99" s="165">
        <f t="shared" si="16"/>
        <v>177159.77459286101</v>
      </c>
      <c r="S99" s="165">
        <f t="shared" si="16"/>
        <v>186102.18593946498</v>
      </c>
      <c r="T99" s="165">
        <f t="shared" si="16"/>
        <v>195493.64904529913</v>
      </c>
      <c r="U99" s="165">
        <f t="shared" si="16"/>
        <v>205356.64091016777</v>
      </c>
      <c r="V99" s="165">
        <f t="shared" si="16"/>
        <v>215714.76216356535</v>
      </c>
      <c r="W99" s="165">
        <f t="shared" si="16"/>
        <v>226592.79320636517</v>
      </c>
      <c r="X99" s="165">
        <f t="shared" si="16"/>
        <v>238016.75315702951</v>
      </c>
      <c r="Y99" s="165">
        <f t="shared" si="16"/>
        <v>250013.96174242618</v>
      </c>
      <c r="Z99" s="165">
        <f t="shared" si="16"/>
        <v>262613.10428033728</v>
      </c>
      <c r="AA99" s="165">
        <f t="shared" si="16"/>
        <v>275844.29990808788</v>
      </c>
      <c r="AB99" s="165">
        <f t="shared" si="16"/>
        <v>289739.17321944039</v>
      </c>
      <c r="AC99" s="166">
        <f t="shared" si="16"/>
        <v>304330.92947999702</v>
      </c>
    </row>
    <row r="100" spans="1:29" ht="25.5" customHeight="1" x14ac:dyDescent="0.15">
      <c r="A100" s="77"/>
      <c r="B100" s="131" t="s">
        <v>79</v>
      </c>
      <c r="C100" s="167"/>
      <c r="D100" s="150">
        <f t="shared" ref="D100:AC100" si="17">(D99)/(1+$C84)^D83</f>
        <v>-661120</v>
      </c>
      <c r="E100" s="151">
        <f t="shared" si="17"/>
        <v>92364.848414039603</v>
      </c>
      <c r="F100" s="151">
        <f t="shared" si="17"/>
        <v>96083.2288457369</v>
      </c>
      <c r="G100" s="151">
        <f t="shared" si="17"/>
        <v>99949.834867207173</v>
      </c>
      <c r="H100" s="151">
        <f t="shared" si="17"/>
        <v>103970.53545711355</v>
      </c>
      <c r="I100" s="151">
        <f t="shared" si="17"/>
        <v>108151.43183744854</v>
      </c>
      <c r="J100" s="151">
        <f t="shared" si="17"/>
        <v>112498.86665983881</v>
      </c>
      <c r="K100" s="151">
        <f t="shared" si="17"/>
        <v>117019.43355519777</v>
      </c>
      <c r="L100" s="151">
        <f t="shared" si="17"/>
        <v>121719.98706109676</v>
      </c>
      <c r="M100" s="151">
        <f t="shared" si="17"/>
        <v>126607.65294179537</v>
      </c>
      <c r="N100" s="151">
        <f t="shared" si="17"/>
        <v>131689.83891646005</v>
      </c>
      <c r="O100" s="151">
        <f t="shared" si="17"/>
        <v>136974.24581171674</v>
      </c>
      <c r="P100" s="151">
        <f t="shared" si="17"/>
        <v>142468.87915532032</v>
      </c>
      <c r="Q100" s="151">
        <f t="shared" si="17"/>
        <v>148182.06122838875</v>
      </c>
      <c r="R100" s="151">
        <f t="shared" si="17"/>
        <v>154122.44359433756</v>
      </c>
      <c r="S100" s="151">
        <f t="shared" si="17"/>
        <v>160299.02012337151</v>
      </c>
      <c r="T100" s="151">
        <f t="shared" si="17"/>
        <v>166721.14053213049</v>
      </c>
      <c r="U100" s="151">
        <f t="shared" si="17"/>
        <v>173398.52445886968</v>
      </c>
      <c r="V100" s="151">
        <f t="shared" si="17"/>
        <v>180341.27609535042</v>
      </c>
      <c r="W100" s="151">
        <f t="shared" si="17"/>
        <v>187559.89939746447</v>
      </c>
      <c r="X100" s="151">
        <f t="shared" si="17"/>
        <v>195065.31389748055</v>
      </c>
      <c r="Y100" s="151">
        <f t="shared" si="17"/>
        <v>202868.87114170846</v>
      </c>
      <c r="Z100" s="151">
        <f t="shared" si="17"/>
        <v>210982.37177831773</v>
      </c>
      <c r="AA100" s="151">
        <f t="shared" si="17"/>
        <v>219418.08332102557</v>
      </c>
      <c r="AB100" s="151">
        <f t="shared" si="17"/>
        <v>228188.75861538542</v>
      </c>
      <c r="AC100" s="152">
        <f t="shared" si="17"/>
        <v>237307.65503546814</v>
      </c>
    </row>
    <row r="101" spans="1:29" ht="25.5" customHeight="1" x14ac:dyDescent="0.15">
      <c r="A101" s="260"/>
      <c r="B101" s="168" t="s">
        <v>144</v>
      </c>
      <c r="C101" s="255"/>
      <c r="D101" s="256">
        <f>SUM(D100:AC100)</f>
        <v>3192834.2027422702</v>
      </c>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70"/>
    </row>
  </sheetData>
  <mergeCells count="12">
    <mergeCell ref="I23:J23"/>
    <mergeCell ref="G18:M18"/>
    <mergeCell ref="E3:H3"/>
    <mergeCell ref="C20:E20"/>
    <mergeCell ref="B12:B15"/>
    <mergeCell ref="C19:E19"/>
    <mergeCell ref="B8:B11"/>
    <mergeCell ref="B39:C39"/>
    <mergeCell ref="F42:M44"/>
    <mergeCell ref="F64:M66"/>
    <mergeCell ref="F85:M87"/>
    <mergeCell ref="I25:I27"/>
  </mergeCells>
  <conditionalFormatting sqref="D58:AC58">
    <cfRule type="cellIs" dxfId="12" priority="1" stopIfTrue="1" operator="lessThan">
      <formula>0</formula>
    </cfRule>
    <cfRule type="cellIs" dxfId="11" priority="2" stopIfTrue="1" operator="greaterThanOrEqual">
      <formula>0</formula>
    </cfRule>
  </conditionalFormatting>
  <pageMargins left="1" right="1" top="1" bottom="1" header="0.25" footer="0.25"/>
  <pageSetup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showGridLines="0" zoomScale="106" workbookViewId="0">
      <selection activeCell="B9" sqref="B9"/>
    </sheetView>
  </sheetViews>
  <sheetFormatPr baseColWidth="10" defaultColWidth="45" defaultRowHeight="17" customHeight="1" x14ac:dyDescent="0.15"/>
  <cols>
    <col min="1" max="1" width="70.1640625" style="261" customWidth="1"/>
    <col min="2" max="2" width="24" style="261" customWidth="1"/>
    <col min="3" max="7" width="20" style="261" customWidth="1"/>
    <col min="8" max="8" width="17.83203125" style="261" customWidth="1"/>
    <col min="9" max="12" width="20" style="261" customWidth="1"/>
    <col min="13" max="13" width="45" style="261" customWidth="1"/>
    <col min="14" max="16384" width="45" style="261"/>
  </cols>
  <sheetData>
    <row r="1" spans="1:12" ht="45" customHeight="1" x14ac:dyDescent="0.15"/>
    <row r="2" spans="1:12" ht="45.5" customHeight="1" x14ac:dyDescent="0.15">
      <c r="A2" s="262" t="s">
        <v>145</v>
      </c>
      <c r="B2" s="263">
        <v>0.06</v>
      </c>
      <c r="C2" s="264"/>
      <c r="D2" s="264"/>
      <c r="E2" s="264"/>
      <c r="F2" s="264"/>
      <c r="G2" s="264"/>
      <c r="H2" s="264"/>
      <c r="I2" s="264"/>
      <c r="J2" s="264"/>
      <c r="K2" s="264"/>
      <c r="L2" s="264"/>
    </row>
    <row r="3" spans="1:12" ht="44.75" customHeight="1" x14ac:dyDescent="0.15">
      <c r="A3" s="265" t="s">
        <v>146</v>
      </c>
      <c r="B3" s="266">
        <v>0.04</v>
      </c>
      <c r="C3" s="267"/>
      <c r="D3" s="267"/>
      <c r="E3" s="267"/>
      <c r="F3" s="267"/>
      <c r="G3" s="267"/>
      <c r="H3" s="267"/>
      <c r="I3" s="267"/>
      <c r="J3" s="267"/>
      <c r="K3" s="267"/>
      <c r="L3" s="267"/>
    </row>
    <row r="4" spans="1:12" ht="44.75" customHeight="1" x14ac:dyDescent="0.15">
      <c r="A4" s="265" t="s">
        <v>147</v>
      </c>
      <c r="B4" s="268">
        <v>0.23</v>
      </c>
      <c r="C4" s="269"/>
      <c r="D4" s="267"/>
      <c r="E4" s="267"/>
      <c r="F4" s="267"/>
      <c r="G4" s="267"/>
      <c r="H4" s="267"/>
      <c r="I4" s="267"/>
      <c r="J4" s="267"/>
      <c r="K4" s="267"/>
      <c r="L4" s="267"/>
    </row>
    <row r="5" spans="1:12" ht="44.75" customHeight="1" x14ac:dyDescent="0.15">
      <c r="A5" s="265" t="s">
        <v>148</v>
      </c>
      <c r="B5" s="270">
        <v>500000</v>
      </c>
      <c r="C5" s="269"/>
      <c r="D5" s="267"/>
      <c r="E5" s="267"/>
      <c r="F5" s="267"/>
      <c r="G5" s="267"/>
      <c r="H5" s="267"/>
      <c r="I5" s="267"/>
      <c r="J5" s="267"/>
      <c r="K5" s="267"/>
      <c r="L5" s="267"/>
    </row>
    <row r="6" spans="1:12" ht="44.75" customHeight="1" x14ac:dyDescent="0.15">
      <c r="A6" s="265" t="s">
        <v>149</v>
      </c>
      <c r="B6" s="271">
        <v>400000</v>
      </c>
      <c r="C6" s="269"/>
      <c r="D6" s="267"/>
      <c r="E6" s="267"/>
      <c r="F6" s="267"/>
      <c r="G6" s="267"/>
      <c r="H6" s="267"/>
      <c r="I6" s="267"/>
      <c r="J6" s="267"/>
      <c r="K6" s="267"/>
      <c r="L6" s="267"/>
    </row>
    <row r="7" spans="1:12" ht="44.75" customHeight="1" x14ac:dyDescent="0.15">
      <c r="A7" s="272" t="s">
        <v>150</v>
      </c>
      <c r="B7" s="273">
        <v>10</v>
      </c>
      <c r="C7" s="274"/>
      <c r="D7" s="275"/>
      <c r="E7" s="275"/>
      <c r="F7" s="275"/>
      <c r="G7" s="275"/>
      <c r="H7" s="275"/>
      <c r="I7" s="275"/>
      <c r="J7" s="275"/>
      <c r="K7" s="275"/>
      <c r="L7" s="276"/>
    </row>
    <row r="8" spans="1:12" ht="44.75" customHeight="1" x14ac:dyDescent="0.15">
      <c r="A8" s="272" t="s">
        <v>151</v>
      </c>
      <c r="B8" s="277">
        <v>1</v>
      </c>
      <c r="C8" s="274"/>
      <c r="D8" s="275"/>
      <c r="E8" s="275"/>
      <c r="F8" s="275"/>
      <c r="G8" s="275"/>
      <c r="H8" s="275"/>
      <c r="I8" s="275"/>
      <c r="J8" s="275"/>
      <c r="K8" s="275"/>
      <c r="L8" s="276"/>
    </row>
    <row r="9" spans="1:12" ht="44.75" customHeight="1" x14ac:dyDescent="0.15">
      <c r="A9" s="272" t="s">
        <v>152</v>
      </c>
      <c r="B9" s="278">
        <f>ROUND(B7*B8,0)</f>
        <v>10</v>
      </c>
      <c r="C9" s="279"/>
      <c r="D9" s="280"/>
      <c r="E9" s="280"/>
      <c r="F9" s="280"/>
      <c r="G9" s="280"/>
      <c r="H9" s="280"/>
      <c r="I9" s="280"/>
      <c r="J9" s="280"/>
      <c r="K9" s="280"/>
      <c r="L9" s="281"/>
    </row>
    <row r="10" spans="1:12" ht="44.75" customHeight="1" x14ac:dyDescent="0.15">
      <c r="A10" s="282" t="s">
        <v>153</v>
      </c>
      <c r="B10" s="283">
        <v>0</v>
      </c>
      <c r="C10" s="283">
        <v>1</v>
      </c>
      <c r="D10" s="283">
        <v>2</v>
      </c>
      <c r="E10" s="283">
        <v>3</v>
      </c>
      <c r="F10" s="283">
        <v>4</v>
      </c>
      <c r="G10" s="283">
        <v>5</v>
      </c>
      <c r="H10" s="283">
        <v>6</v>
      </c>
      <c r="I10" s="283">
        <v>7</v>
      </c>
      <c r="J10" s="283">
        <v>8</v>
      </c>
      <c r="K10" s="283">
        <v>9</v>
      </c>
      <c r="L10" s="283">
        <v>10</v>
      </c>
    </row>
    <row r="11" spans="1:12" ht="41.5" customHeight="1" x14ac:dyDescent="0.15">
      <c r="A11" s="284" t="s">
        <v>154</v>
      </c>
      <c r="B11" s="285"/>
      <c r="C11" s="286">
        <f t="shared" ref="C11:L11" si="0">$B$4*(1+$B$3)^C10</f>
        <v>0.23920000000000002</v>
      </c>
      <c r="D11" s="286">
        <f t="shared" si="0"/>
        <v>0.24876800000000004</v>
      </c>
      <c r="E11" s="286">
        <f t="shared" si="0"/>
        <v>0.25871872000000001</v>
      </c>
      <c r="F11" s="286">
        <f t="shared" si="0"/>
        <v>0.26906746880000004</v>
      </c>
      <c r="G11" s="286">
        <f t="shared" si="0"/>
        <v>0.27983016755200008</v>
      </c>
      <c r="H11" s="286">
        <f t="shared" si="0"/>
        <v>0.29102337425408009</v>
      </c>
      <c r="I11" s="286">
        <f t="shared" si="0"/>
        <v>0.30266430922424326</v>
      </c>
      <c r="J11" s="286">
        <f t="shared" si="0"/>
        <v>0.31477088159321304</v>
      </c>
      <c r="K11" s="286">
        <f t="shared" si="0"/>
        <v>0.3273617168569416</v>
      </c>
      <c r="L11" s="287">
        <f t="shared" si="0"/>
        <v>0.34045618553121926</v>
      </c>
    </row>
    <row r="12" spans="1:12" ht="44.75" customHeight="1" x14ac:dyDescent="0.15">
      <c r="A12" s="288" t="s">
        <v>155</v>
      </c>
      <c r="B12" s="289"/>
      <c r="C12" s="290"/>
      <c r="D12" s="290"/>
      <c r="E12" s="290"/>
      <c r="F12" s="290"/>
      <c r="G12" s="290"/>
      <c r="H12" s="290"/>
      <c r="I12" s="290"/>
      <c r="J12" s="290"/>
      <c r="K12" s="290"/>
      <c r="L12" s="291"/>
    </row>
    <row r="13" spans="1:12" ht="44.75" customHeight="1" x14ac:dyDescent="0.15">
      <c r="A13" s="292" t="s">
        <v>156</v>
      </c>
      <c r="B13" s="293">
        <f>-B6</f>
        <v>-400000</v>
      </c>
      <c r="C13" s="294"/>
      <c r="D13" s="294"/>
      <c r="E13" s="294"/>
      <c r="F13" s="294"/>
      <c r="G13" s="294"/>
      <c r="H13" s="294"/>
      <c r="I13" s="294"/>
      <c r="J13" s="294"/>
      <c r="K13" s="294"/>
      <c r="L13" s="295"/>
    </row>
    <row r="14" spans="1:12" ht="44.75" customHeight="1" x14ac:dyDescent="0.15">
      <c r="A14" s="288" t="s">
        <v>157</v>
      </c>
      <c r="B14" s="296"/>
      <c r="C14" s="297"/>
      <c r="D14" s="297"/>
      <c r="E14" s="297"/>
      <c r="F14" s="297"/>
      <c r="G14" s="297"/>
      <c r="H14" s="297"/>
      <c r="I14" s="297"/>
      <c r="J14" s="297"/>
      <c r="K14" s="297"/>
      <c r="L14" s="298"/>
    </row>
    <row r="15" spans="1:12" ht="44.75" customHeight="1" x14ac:dyDescent="0.15">
      <c r="A15" s="299" t="s">
        <v>158</v>
      </c>
      <c r="B15" s="293"/>
      <c r="C15" s="294">
        <f t="shared" ref="C15:L15" si="1">$B$5*C11</f>
        <v>119600.00000000001</v>
      </c>
      <c r="D15" s="294">
        <f t="shared" si="1"/>
        <v>124384.00000000003</v>
      </c>
      <c r="E15" s="294">
        <f t="shared" si="1"/>
        <v>129359.36</v>
      </c>
      <c r="F15" s="294">
        <f t="shared" si="1"/>
        <v>134533.73440000002</v>
      </c>
      <c r="G15" s="294">
        <f t="shared" si="1"/>
        <v>139915.08377600004</v>
      </c>
      <c r="H15" s="294">
        <f t="shared" si="1"/>
        <v>145511.68712704006</v>
      </c>
      <c r="I15" s="294">
        <f t="shared" si="1"/>
        <v>151332.15461212164</v>
      </c>
      <c r="J15" s="294">
        <f t="shared" si="1"/>
        <v>157385.4407966065</v>
      </c>
      <c r="K15" s="294">
        <f t="shared" si="1"/>
        <v>163680.85842847079</v>
      </c>
      <c r="L15" s="295">
        <f t="shared" si="1"/>
        <v>170228.09276560962</v>
      </c>
    </row>
    <row r="16" spans="1:12" ht="44.75" customHeight="1" x14ac:dyDescent="0.15">
      <c r="A16" s="300" t="s">
        <v>159</v>
      </c>
      <c r="B16" s="296"/>
      <c r="C16" s="297"/>
      <c r="D16" s="297"/>
      <c r="E16" s="297"/>
      <c r="F16" s="297"/>
      <c r="G16" s="297"/>
      <c r="H16" s="297"/>
      <c r="I16" s="297"/>
      <c r="J16" s="297"/>
      <c r="K16" s="297"/>
      <c r="L16" s="298"/>
    </row>
    <row r="17" spans="1:12" ht="44.75" customHeight="1" x14ac:dyDescent="0.15">
      <c r="A17" s="301" t="s">
        <v>160</v>
      </c>
      <c r="B17" s="302">
        <f t="shared" ref="B17:L17" si="2">SUM(B13:B15)</f>
        <v>-400000</v>
      </c>
      <c r="C17" s="303">
        <f t="shared" si="2"/>
        <v>119600.00000000001</v>
      </c>
      <c r="D17" s="303">
        <f t="shared" si="2"/>
        <v>124384.00000000003</v>
      </c>
      <c r="E17" s="303">
        <f t="shared" si="2"/>
        <v>129359.36</v>
      </c>
      <c r="F17" s="303">
        <f t="shared" si="2"/>
        <v>134533.73440000002</v>
      </c>
      <c r="G17" s="303">
        <f t="shared" si="2"/>
        <v>139915.08377600004</v>
      </c>
      <c r="H17" s="303">
        <f t="shared" si="2"/>
        <v>145511.68712704006</v>
      </c>
      <c r="I17" s="303">
        <f t="shared" si="2"/>
        <v>151332.15461212164</v>
      </c>
      <c r="J17" s="303">
        <f t="shared" si="2"/>
        <v>157385.4407966065</v>
      </c>
      <c r="K17" s="303">
        <f t="shared" si="2"/>
        <v>163680.85842847079</v>
      </c>
      <c r="L17" s="304">
        <f t="shared" si="2"/>
        <v>170228.09276560962</v>
      </c>
    </row>
    <row r="18" spans="1:12" ht="44.75" customHeight="1" x14ac:dyDescent="0.15">
      <c r="A18" s="301" t="s">
        <v>161</v>
      </c>
      <c r="B18" s="302">
        <f>B17</f>
        <v>-400000</v>
      </c>
      <c r="C18" s="303">
        <f t="shared" ref="C18:L18" si="3">C17/(1+$B$2)^C10</f>
        <v>112830.18867924529</v>
      </c>
      <c r="D18" s="303">
        <f t="shared" si="3"/>
        <v>110701.31719473124</v>
      </c>
      <c r="E18" s="303">
        <f t="shared" si="3"/>
        <v>108612.6130967174</v>
      </c>
      <c r="F18" s="303">
        <f t="shared" si="3"/>
        <v>106563.31850998689</v>
      </c>
      <c r="G18" s="303">
        <f t="shared" si="3"/>
        <v>104552.68985885507</v>
      </c>
      <c r="H18" s="303">
        <f t="shared" si="3"/>
        <v>102579.99759736724</v>
      </c>
      <c r="I18" s="303">
        <f t="shared" si="3"/>
        <v>100644.5259445867</v>
      </c>
      <c r="J18" s="303">
        <f t="shared" si="3"/>
        <v>98745.572624877532</v>
      </c>
      <c r="K18" s="303">
        <f t="shared" si="3"/>
        <v>96882.448613087399</v>
      </c>
      <c r="L18" s="304">
        <f t="shared" si="3"/>
        <v>95054.477884538574</v>
      </c>
    </row>
    <row r="19" spans="1:12" ht="44.75" customHeight="1" x14ac:dyDescent="0.15">
      <c r="A19" s="305" t="s">
        <v>162</v>
      </c>
      <c r="B19" s="302">
        <f>SUM($B$18:B18)</f>
        <v>-400000</v>
      </c>
      <c r="C19" s="303">
        <f>SUM($B$18:C18)</f>
        <v>-287169.8113207547</v>
      </c>
      <c r="D19" s="303">
        <f>SUM($B$18:D18)</f>
        <v>-176468.49412602346</v>
      </c>
      <c r="E19" s="303">
        <f>SUM($B$18:E18)</f>
        <v>-67855.881029306067</v>
      </c>
      <c r="F19" s="303">
        <f>SUM($B$18:F18)</f>
        <v>38707.437480680819</v>
      </c>
      <c r="G19" s="303">
        <f>SUM($B$18:G18)</f>
        <v>143260.12733953589</v>
      </c>
      <c r="H19" s="303">
        <f>SUM($B$18:H18)</f>
        <v>245840.12493690313</v>
      </c>
      <c r="I19" s="303">
        <f>SUM($B$18:I18)</f>
        <v>346484.65088148986</v>
      </c>
      <c r="J19" s="303">
        <f>SUM($B$18:J18)</f>
        <v>445230.22350636742</v>
      </c>
      <c r="K19" s="306">
        <f>SUM($B$18:K18)</f>
        <v>542112.67211945483</v>
      </c>
      <c r="L19" s="307">
        <f>SUM($B$18:L18)</f>
        <v>637167.15000399342</v>
      </c>
    </row>
    <row r="20" spans="1:12" ht="45.5" customHeight="1" x14ac:dyDescent="0.15">
      <c r="A20" s="308" t="s">
        <v>63</v>
      </c>
      <c r="B20" s="309">
        <f>SUM(B18:L18)</f>
        <v>637167.15000399342</v>
      </c>
      <c r="C20" s="310"/>
      <c r="D20" s="310"/>
      <c r="E20" s="310"/>
      <c r="F20" s="310"/>
      <c r="G20" s="310"/>
      <c r="H20" s="310"/>
      <c r="I20" s="310"/>
      <c r="J20" s="310"/>
      <c r="K20" s="310"/>
      <c r="L20" s="311"/>
    </row>
    <row r="21" spans="1:12" ht="10" hidden="1" customHeight="1" x14ac:dyDescent="0.15">
      <c r="A21" s="312" t="s">
        <v>163</v>
      </c>
      <c r="B21" s="313">
        <f>SUM(B18)</f>
        <v>-400000</v>
      </c>
      <c r="C21" s="313" t="e">
        <f>SUM($B$18:C18)*#REF!</f>
        <v>#REF!</v>
      </c>
      <c r="D21" s="313" t="e">
        <f>SUM($B$18:D18)*#REF!</f>
        <v>#REF!</v>
      </c>
      <c r="E21" s="313" t="e">
        <f>SUM($B$18:E18)*#REF!</f>
        <v>#REF!</v>
      </c>
      <c r="F21" s="313" t="e">
        <f>SUM($B$18:F18)*#REF!</f>
        <v>#REF!</v>
      </c>
      <c r="G21" s="313" t="e">
        <f>SUM($B$18:G18)*#REF!</f>
        <v>#REF!</v>
      </c>
      <c r="H21" s="313" t="e">
        <f>SUM($B$18:H18)*#REF!</f>
        <v>#REF!</v>
      </c>
      <c r="I21" s="313" t="e">
        <f>SUM($B$18:I18)*#REF!</f>
        <v>#REF!</v>
      </c>
      <c r="J21" s="313" t="e">
        <f>SUM($B$18:J18)*#REF!</f>
        <v>#REF!</v>
      </c>
      <c r="K21" s="313" t="e">
        <f>SUM($B$18:K18)*#REF!</f>
        <v>#REF!</v>
      </c>
      <c r="L21" s="314" t="e">
        <f>SUM($B$18:L18)*#REF!</f>
        <v>#REF!</v>
      </c>
    </row>
    <row r="22" spans="1:12" ht="10" hidden="1" customHeight="1" x14ac:dyDescent="0.15">
      <c r="A22" s="315" t="s">
        <v>164</v>
      </c>
      <c r="B22" s="316" t="e">
        <f>SUM(C22:L22)</f>
        <v>#REF!</v>
      </c>
      <c r="C22" s="317" t="e">
        <f t="shared" ref="C22:L22" si="4">IF(AND(B21&lt;0,C21&gt;=0),B10+(B21/(B21-C21)),"")</f>
        <v>#REF!</v>
      </c>
      <c r="D22" s="317" t="e">
        <f t="shared" si="4"/>
        <v>#REF!</v>
      </c>
      <c r="E22" s="317" t="e">
        <f t="shared" si="4"/>
        <v>#REF!</v>
      </c>
      <c r="F22" s="317" t="e">
        <f t="shared" si="4"/>
        <v>#REF!</v>
      </c>
      <c r="G22" s="317" t="e">
        <f t="shared" si="4"/>
        <v>#REF!</v>
      </c>
      <c r="H22" s="317" t="e">
        <f t="shared" si="4"/>
        <v>#REF!</v>
      </c>
      <c r="I22" s="317" t="e">
        <f t="shared" si="4"/>
        <v>#REF!</v>
      </c>
      <c r="J22" s="317" t="e">
        <f t="shared" si="4"/>
        <v>#REF!</v>
      </c>
      <c r="K22" s="317" t="e">
        <f t="shared" si="4"/>
        <v>#REF!</v>
      </c>
      <c r="L22" s="318" t="e">
        <f t="shared" si="4"/>
        <v>#REF!</v>
      </c>
    </row>
    <row r="23" spans="1:12" ht="10" hidden="1" customHeight="1" x14ac:dyDescent="0.15">
      <c r="A23" s="315" t="s">
        <v>165</v>
      </c>
      <c r="B23" s="319">
        <f>IRR(B17:L17,5%)</f>
        <v>0.30904593952468251</v>
      </c>
      <c r="C23" s="317"/>
      <c r="D23" s="317"/>
      <c r="E23" s="317"/>
      <c r="F23" s="317"/>
      <c r="G23" s="317"/>
      <c r="H23" s="317"/>
      <c r="I23" s="317"/>
      <c r="J23" s="317"/>
      <c r="K23" s="317"/>
      <c r="L23" s="318"/>
    </row>
  </sheetData>
  <conditionalFormatting sqref="B10">
    <cfRule type="cellIs" dxfId="10" priority="1" stopIfTrue="1" operator="equal">
      <formula>B9</formula>
    </cfRule>
  </conditionalFormatting>
  <conditionalFormatting sqref="C10">
    <cfRule type="cellIs" dxfId="9" priority="2" stopIfTrue="1" operator="equal">
      <formula>B$9</formula>
    </cfRule>
  </conditionalFormatting>
  <conditionalFormatting sqref="D10">
    <cfRule type="cellIs" dxfId="8" priority="3" stopIfTrue="1" operator="equal">
      <formula>B$9</formula>
    </cfRule>
  </conditionalFormatting>
  <conditionalFormatting sqref="E10">
    <cfRule type="cellIs" dxfId="7" priority="4" stopIfTrue="1" operator="equal">
      <formula>B$9</formula>
    </cfRule>
  </conditionalFormatting>
  <conditionalFormatting sqref="F10">
    <cfRule type="cellIs" dxfId="6" priority="5" stopIfTrue="1" operator="equal">
      <formula>B$9</formula>
    </cfRule>
  </conditionalFormatting>
  <conditionalFormatting sqref="G10">
    <cfRule type="cellIs" dxfId="5" priority="6" stopIfTrue="1" operator="equal">
      <formula>B$9</formula>
    </cfRule>
  </conditionalFormatting>
  <conditionalFormatting sqref="H10">
    <cfRule type="cellIs" dxfId="4" priority="7" stopIfTrue="1" operator="equal">
      <formula>B$9</formula>
    </cfRule>
  </conditionalFormatting>
  <conditionalFormatting sqref="I10">
    <cfRule type="cellIs" dxfId="3" priority="8" stopIfTrue="1" operator="equal">
      <formula>B$9</formula>
    </cfRule>
  </conditionalFormatting>
  <conditionalFormatting sqref="J10">
    <cfRule type="cellIs" dxfId="2" priority="9" stopIfTrue="1" operator="equal">
      <formula>B$9</formula>
    </cfRule>
  </conditionalFormatting>
  <conditionalFormatting sqref="K10">
    <cfRule type="cellIs" dxfId="1" priority="10" stopIfTrue="1" operator="equal">
      <formula>B$9</formula>
    </cfRule>
  </conditionalFormatting>
  <conditionalFormatting sqref="L10">
    <cfRule type="cellIs" dxfId="0" priority="11" stopIfTrue="1" operator="equal">
      <formula>B$9</formula>
    </cfRule>
  </conditionalFormatting>
  <pageMargins left="0.5" right="0.5" top="0.75" bottom="0.75" header="0.27777800000000002" footer="0.27777800000000002"/>
  <pageSetup scale="72"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B7A82-DBBD-CF43-A6E6-BF8B3AFF12B9}">
  <dimension ref="A1"/>
  <sheetViews>
    <sheetView workbookViewId="0">
      <selection activeCell="A2" sqref="A2"/>
    </sheetView>
  </sheetViews>
  <sheetFormatPr baseColWidth="10" defaultRowHeight="13" x14ac:dyDescent="0.15"/>
  <sheetData>
    <row r="1" spans="1:1" ht="28" x14ac:dyDescent="0.15">
      <c r="A1" t="s">
        <v>166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Beispiel aus DIN EN 17463</vt:lpstr>
      <vt:lpstr>Bericht</vt:lpstr>
      <vt:lpstr>Alternativbeispiel</vt:lpstr>
      <vt:lpstr>Verkürzter KW (etwa nach BECV, </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Nathanael Harfst</cp:lastModifiedBy>
  <dcterms:created xsi:type="dcterms:W3CDTF">2022-11-16T14:15:13Z</dcterms:created>
  <dcterms:modified xsi:type="dcterms:W3CDTF">2023-01-23T16:41:22Z</dcterms:modified>
</cp:coreProperties>
</file>